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LA\Documents\Lucerne Australia\Cost of Production\COP Disc Inclusions 2015\"/>
    </mc:Choice>
  </mc:AlternateContent>
  <xr:revisionPtr revIDLastSave="0" documentId="13_ncr:1_{657BE531-C06A-4B76-AB44-CFDDCDAFB4C1}" xr6:coauthVersionLast="47" xr6:coauthVersionMax="47" xr10:uidLastSave="{00000000-0000-0000-0000-000000000000}"/>
  <bookViews>
    <workbookView xWindow="-120" yWindow="-120" windowWidth="20730" windowHeight="11040" tabRatio="543" activeTab="1" xr2:uid="{00000000-000D-0000-FFFF-FFFF00000000}"/>
  </bookViews>
  <sheets>
    <sheet name="Data" sheetId="1" r:id="rId1"/>
    <sheet name="Infrastructure Detailed" sheetId="2" r:id="rId2"/>
    <sheet name="Results" sheetId="3" r:id="rId3"/>
    <sheet name="Print A4" sheetId="4" r:id="rId4"/>
    <sheet name="Summary" sheetId="5" r:id="rId5"/>
    <sheet name="Graphs" sheetId="6" r:id="rId6"/>
    <sheet name="FILL" sheetId="9" state="hidden" r:id="rId7"/>
    <sheet name="FILL2" sheetId="11" state="hidden" r:id="rId8"/>
  </sheets>
  <definedNames>
    <definedName name="_xlnm.Print_Area" localSheetId="5">Graphs!$A$1:$H$55</definedName>
    <definedName name="_xlnm.Print_Area" localSheetId="3">'Print A4'!$A$1:$N$96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1" i="1" l="1"/>
  <c r="J92" i="1"/>
  <c r="J93" i="1"/>
  <c r="J90" i="1"/>
  <c r="D6" i="1"/>
  <c r="A2" i="4" s="1"/>
  <c r="H10" i="1"/>
  <c r="H12" i="1"/>
  <c r="E14" i="1"/>
  <c r="H14" i="1"/>
  <c r="H15" i="1"/>
  <c r="H17" i="1"/>
  <c r="H21" i="1"/>
  <c r="G18" i="1"/>
  <c r="E19" i="1"/>
  <c r="H19" i="1"/>
  <c r="H20" i="1"/>
  <c r="E21" i="1"/>
  <c r="E28" i="1"/>
  <c r="G33" i="1"/>
  <c r="I34" i="1"/>
  <c r="J34" i="1"/>
  <c r="I35" i="1"/>
  <c r="J35" i="1"/>
  <c r="G36" i="1"/>
  <c r="G37" i="1"/>
  <c r="G38" i="1"/>
  <c r="E44" i="1"/>
  <c r="G44" i="1"/>
  <c r="I40" i="1"/>
  <c r="G41" i="1"/>
  <c r="I41" i="1"/>
  <c r="J41" i="1"/>
  <c r="G42" i="1"/>
  <c r="J42" i="1"/>
  <c r="I47" i="1"/>
  <c r="I49" i="1" s="1"/>
  <c r="AT89" i="3" s="1"/>
  <c r="GH89" i="3" s="1"/>
  <c r="J49" i="1"/>
  <c r="F59" i="1"/>
  <c r="H59" i="1"/>
  <c r="G60" i="1"/>
  <c r="E61" i="1"/>
  <c r="J62" i="1"/>
  <c r="J78" i="1" s="1"/>
  <c r="I63" i="1"/>
  <c r="I78" i="1" s="1"/>
  <c r="H46" i="5" s="1"/>
  <c r="E64" i="1"/>
  <c r="E65" i="1"/>
  <c r="E66" i="1"/>
  <c r="E67" i="1"/>
  <c r="E68" i="1"/>
  <c r="E69" i="1"/>
  <c r="E71" i="1"/>
  <c r="E72" i="1"/>
  <c r="F73" i="1"/>
  <c r="H73" i="1"/>
  <c r="G74" i="1" s="1"/>
  <c r="F43" i="5" s="1"/>
  <c r="E75" i="1"/>
  <c r="J76" i="1"/>
  <c r="I77" i="1"/>
  <c r="H78" i="1"/>
  <c r="J85" i="1"/>
  <c r="J86" i="1"/>
  <c r="J87" i="1"/>
  <c r="J88" i="1"/>
  <c r="G100" i="1"/>
  <c r="I100" i="1" s="1"/>
  <c r="G101" i="1"/>
  <c r="I101" i="1" s="1"/>
  <c r="G102" i="1"/>
  <c r="I102" i="1"/>
  <c r="G103" i="1"/>
  <c r="I103" i="1" s="1"/>
  <c r="G104" i="1"/>
  <c r="I104" i="1" s="1"/>
  <c r="G105" i="1"/>
  <c r="I105" i="1" s="1"/>
  <c r="G107" i="1"/>
  <c r="I107" i="1" s="1"/>
  <c r="G108" i="1"/>
  <c r="I108" i="1" s="1"/>
  <c r="G109" i="1"/>
  <c r="I109" i="1" s="1"/>
  <c r="G110" i="1"/>
  <c r="I110" i="1" s="1"/>
  <c r="G111" i="1"/>
  <c r="I111" i="1" s="1"/>
  <c r="G112" i="1"/>
  <c r="I112" i="1" s="1"/>
  <c r="G114" i="1"/>
  <c r="I114" i="1" s="1"/>
  <c r="G115" i="1"/>
  <c r="I115" i="1" s="1"/>
  <c r="G116" i="1"/>
  <c r="I116" i="1" s="1"/>
  <c r="I117" i="1"/>
  <c r="G119" i="1"/>
  <c r="I119" i="1" s="1"/>
  <c r="G120" i="1"/>
  <c r="I120" i="1" s="1"/>
  <c r="G121" i="1"/>
  <c r="I121" i="1" s="1"/>
  <c r="G122" i="1"/>
  <c r="I122" i="1" s="1"/>
  <c r="F126" i="1"/>
  <c r="H126" i="1" s="1"/>
  <c r="G130" i="1"/>
  <c r="I130" i="1" s="1"/>
  <c r="K58" i="4" s="1"/>
  <c r="G131" i="1"/>
  <c r="I131" i="1" s="1"/>
  <c r="F150" i="1"/>
  <c r="G150" i="1" s="1"/>
  <c r="E155" i="1"/>
  <c r="E160" i="1"/>
  <c r="E165" i="1"/>
  <c r="E167" i="1" s="1"/>
  <c r="AB5" i="6"/>
  <c r="AB6" i="6" s="1"/>
  <c r="V4" i="2"/>
  <c r="AF4" i="2"/>
  <c r="AP4" i="2"/>
  <c r="AZ4" i="2"/>
  <c r="BJ4" i="2"/>
  <c r="BT4" i="2"/>
  <c r="DH4" i="2"/>
  <c r="CI7" i="2"/>
  <c r="BY8" i="2"/>
  <c r="CI8" i="2"/>
  <c r="Q9" i="2"/>
  <c r="P18" i="2" s="1"/>
  <c r="AA9" i="2"/>
  <c r="AK9" i="2"/>
  <c r="AJ18" i="2" s="1"/>
  <c r="AU9" i="2"/>
  <c r="AT17" i="2" s="1"/>
  <c r="BE9" i="2"/>
  <c r="BD17" i="2" s="1"/>
  <c r="BO9" i="2"/>
  <c r="BN17" i="2" s="1"/>
  <c r="BY9" i="2"/>
  <c r="CI9" i="2"/>
  <c r="CI10" i="2" s="1"/>
  <c r="CS9" i="2"/>
  <c r="DC9" i="2"/>
  <c r="DC17" i="2" s="1"/>
  <c r="DM9" i="2"/>
  <c r="DL16" i="2" s="1"/>
  <c r="AA10" i="2"/>
  <c r="AA12" i="2" s="1"/>
  <c r="AA17" i="2" s="1"/>
  <c r="AK10" i="2"/>
  <c r="AK12" i="2" s="1"/>
  <c r="AU10" i="2"/>
  <c r="AU12" i="2" s="1"/>
  <c r="BE10" i="2"/>
  <c r="BE12" i="2" s="1"/>
  <c r="D11" i="2"/>
  <c r="E126" i="5" s="1"/>
  <c r="Q11" i="2"/>
  <c r="AA11" i="2"/>
  <c r="AK11" i="2"/>
  <c r="AU11" i="2"/>
  <c r="BE11" i="2"/>
  <c r="BO11" i="2"/>
  <c r="CI11" i="2"/>
  <c r="CS11" i="2"/>
  <c r="DC11" i="2"/>
  <c r="DM11" i="2"/>
  <c r="Q13" i="2"/>
  <c r="CS13" i="2"/>
  <c r="DC13" i="2"/>
  <c r="DM13" i="2"/>
  <c r="DM6" i="2"/>
  <c r="Q14" i="2"/>
  <c r="AA14" i="2"/>
  <c r="AK14" i="2"/>
  <c r="AU14" i="2"/>
  <c r="BE14" i="2"/>
  <c r="BO14" i="2"/>
  <c r="BW14" i="2"/>
  <c r="CN14" i="2"/>
  <c r="CS14" i="2"/>
  <c r="CP17" i="2" s="1"/>
  <c r="CX14" i="2"/>
  <c r="DC14" i="2"/>
  <c r="DM14" i="2"/>
  <c r="Q15" i="2"/>
  <c r="AA15" i="2"/>
  <c r="AK15" i="2"/>
  <c r="AU15" i="2"/>
  <c r="BE15" i="2"/>
  <c r="BJ15" i="2"/>
  <c r="BW15" i="2"/>
  <c r="CG15" i="2"/>
  <c r="CR16" i="2"/>
  <c r="AJ17" i="2"/>
  <c r="BW17" i="2"/>
  <c r="CG17" i="2"/>
  <c r="CR17" i="2"/>
  <c r="CZ17" i="2"/>
  <c r="N18" i="2"/>
  <c r="X18" i="2"/>
  <c r="AT18" i="2"/>
  <c r="BB18" i="2"/>
  <c r="BD18" i="2"/>
  <c r="BN18" i="2"/>
  <c r="CG18" i="2"/>
  <c r="CG19" i="2"/>
  <c r="BY24" i="2"/>
  <c r="BX32" i="2" s="1"/>
  <c r="BY26" i="2"/>
  <c r="CI26" i="2"/>
  <c r="CH34" i="2" s="1"/>
  <c r="AB27" i="2"/>
  <c r="AL27" i="2"/>
  <c r="AV27" i="2"/>
  <c r="BF27" i="2"/>
  <c r="CT27" i="2"/>
  <c r="CT29" i="2" s="1"/>
  <c r="DD27" i="2"/>
  <c r="DN27" i="2"/>
  <c r="BP28" i="2"/>
  <c r="BP30" i="2" s="1"/>
  <c r="BY28" i="2"/>
  <c r="CI28" i="2"/>
  <c r="D29" i="2"/>
  <c r="AB32" i="2" s="1"/>
  <c r="Z35" i="2" s="1"/>
  <c r="BY29" i="2"/>
  <c r="BT30" i="2" s="1"/>
  <c r="DB29" i="2"/>
  <c r="DD29" i="2" s="1"/>
  <c r="BY30" i="2"/>
  <c r="CI30" i="2"/>
  <c r="DN30" i="2"/>
  <c r="AA31" i="2"/>
  <c r="AK31" i="2"/>
  <c r="AU31" i="2"/>
  <c r="BE31" i="2"/>
  <c r="BL31" i="2"/>
  <c r="D32" i="2"/>
  <c r="CI32" i="2"/>
  <c r="CF35" i="2" s="1"/>
  <c r="CS32" i="2"/>
  <c r="DC32" i="2"/>
  <c r="D33" i="2"/>
  <c r="X34" i="2" s="1"/>
  <c r="N33" i="2"/>
  <c r="Q33" i="2" s="1"/>
  <c r="BO33" i="2"/>
  <c r="BV33" i="2"/>
  <c r="BX33" i="2"/>
  <c r="BY33" i="2"/>
  <c r="X35" i="2"/>
  <c r="AR35" i="2"/>
  <c r="AH36" i="2"/>
  <c r="BB36" i="2"/>
  <c r="DC36" i="2"/>
  <c r="CX39" i="2" s="1"/>
  <c r="AA37" i="2"/>
  <c r="AU37" i="2"/>
  <c r="BO37" i="2"/>
  <c r="DL37" i="2"/>
  <c r="AK38" i="2"/>
  <c r="BE38" i="2"/>
  <c r="DL38" i="2"/>
  <c r="BL39" i="2"/>
  <c r="BJ40" i="2"/>
  <c r="CP41" i="2"/>
  <c r="CS41" i="2" s="1"/>
  <c r="CZ41" i="2"/>
  <c r="DC41" i="2"/>
  <c r="X44" i="2"/>
  <c r="AK44" i="2"/>
  <c r="AR44" i="2"/>
  <c r="BL44" i="2"/>
  <c r="AH45" i="2"/>
  <c r="BB45" i="2"/>
  <c r="BT46" i="2"/>
  <c r="CI46" i="2"/>
  <c r="CD49" i="2" s="1"/>
  <c r="CE32" i="2"/>
  <c r="X47" i="2"/>
  <c r="AA47" i="2" s="1"/>
  <c r="AR47" i="2"/>
  <c r="AU47" i="2"/>
  <c r="BB48" i="2"/>
  <c r="BE48" i="2" s="1"/>
  <c r="BV48" i="2"/>
  <c r="BY48" i="2" s="1"/>
  <c r="X49" i="2"/>
  <c r="AR49" i="2"/>
  <c r="D50" i="2"/>
  <c r="AL32" i="2" s="1"/>
  <c r="AH50" i="2"/>
  <c r="BB50" i="2"/>
  <c r="BV50" i="2"/>
  <c r="CF51" i="2"/>
  <c r="CI51" i="2"/>
  <c r="D53" i="2"/>
  <c r="AH33" i="2"/>
  <c r="CF53" i="2"/>
  <c r="D54" i="2"/>
  <c r="AA61" i="2"/>
  <c r="AK61" i="2"/>
  <c r="AU61" i="2"/>
  <c r="BE61" i="2"/>
  <c r="BD69" i="2" s="1"/>
  <c r="AA62" i="2"/>
  <c r="Z87" i="2" s="1"/>
  <c r="AB87" i="2" s="1"/>
  <c r="AK62" i="2"/>
  <c r="AU62" i="2"/>
  <c r="AU64" i="2"/>
  <c r="AU72" i="2" s="1"/>
  <c r="BE62" i="2"/>
  <c r="BD87" i="2" s="1"/>
  <c r="AA63" i="2"/>
  <c r="AK63" i="2"/>
  <c r="AK64" i="2"/>
  <c r="AU63" i="2"/>
  <c r="BE63" i="2"/>
  <c r="BE64" i="2"/>
  <c r="BB68" i="2" s="1"/>
  <c r="AA66" i="2"/>
  <c r="AK66" i="2"/>
  <c r="AU66" i="2"/>
  <c r="AR69" i="2" s="1"/>
  <c r="BE66" i="2"/>
  <c r="AJ68" i="2"/>
  <c r="AJ69" i="2"/>
  <c r="D71" i="2"/>
  <c r="D74" i="2"/>
  <c r="D75" i="2"/>
  <c r="AR34" i="2" s="1"/>
  <c r="AB78" i="2"/>
  <c r="AL78" i="2"/>
  <c r="AL84" i="2" s="1"/>
  <c r="AL80" i="2"/>
  <c r="AV78" i="2"/>
  <c r="BF78" i="2"/>
  <c r="AA82" i="2"/>
  <c r="AK82" i="2"/>
  <c r="AU82" i="2"/>
  <c r="BE82" i="2"/>
  <c r="AV83" i="2"/>
  <c r="AT84" i="2" s="1"/>
  <c r="X84" i="2"/>
  <c r="AJ84" i="2"/>
  <c r="AR84" i="2"/>
  <c r="BB84" i="2"/>
  <c r="BD84" i="2"/>
  <c r="X85" i="2"/>
  <c r="Z84" i="2" s="1"/>
  <c r="AR85" i="2"/>
  <c r="BB85" i="2"/>
  <c r="AJ86" i="2"/>
  <c r="X87" i="2"/>
  <c r="AH87" i="2"/>
  <c r="AJ87" i="2"/>
  <c r="AL87" i="2"/>
  <c r="AR87" i="2"/>
  <c r="AT87" i="2" s="1"/>
  <c r="BB87" i="2"/>
  <c r="AA89" i="2"/>
  <c r="AK89" i="2"/>
  <c r="AU89" i="2"/>
  <c r="BE89" i="2"/>
  <c r="D92" i="2"/>
  <c r="E92" i="2" s="1"/>
  <c r="BF32" i="2"/>
  <c r="D95" i="2"/>
  <c r="D96" i="2"/>
  <c r="BB34" i="2" s="1"/>
  <c r="X96" i="2"/>
  <c r="AH96" i="2"/>
  <c r="AR96" i="2"/>
  <c r="BB96" i="2"/>
  <c r="AH99" i="2"/>
  <c r="AK99" i="2" s="1"/>
  <c r="AR99" i="2"/>
  <c r="AU99" i="2"/>
  <c r="BB99" i="2"/>
  <c r="BE99" i="2" s="1"/>
  <c r="X101" i="2"/>
  <c r="AH101" i="2"/>
  <c r="AR101" i="2"/>
  <c r="BB101" i="2"/>
  <c r="D104" i="2"/>
  <c r="BO15" i="2" s="1"/>
  <c r="AA108" i="2"/>
  <c r="AK108" i="2"/>
  <c r="M22" i="3" s="1"/>
  <c r="AU108" i="2"/>
  <c r="BE108" i="2"/>
  <c r="D114" i="2"/>
  <c r="D116" i="2"/>
  <c r="D122" i="2"/>
  <c r="D125" i="2"/>
  <c r="D143" i="2" s="1"/>
  <c r="D126" i="2"/>
  <c r="BW16" i="2"/>
  <c r="D129" i="2"/>
  <c r="D133" i="2"/>
  <c r="D153" i="2"/>
  <c r="E232" i="5" s="1"/>
  <c r="D155" i="2"/>
  <c r="D161" i="2"/>
  <c r="D163" i="2"/>
  <c r="E168" i="2"/>
  <c r="D172" i="2"/>
  <c r="A1" i="4"/>
  <c r="G9" i="4"/>
  <c r="N58" i="4" s="1"/>
  <c r="G15" i="4"/>
  <c r="A16" i="4"/>
  <c r="C16" i="4"/>
  <c r="A17" i="4"/>
  <c r="A19" i="4"/>
  <c r="C19" i="4"/>
  <c r="E19" i="4" s="1"/>
  <c r="A20" i="4"/>
  <c r="A22" i="4"/>
  <c r="K22" i="4"/>
  <c r="A23" i="4"/>
  <c r="A25" i="4"/>
  <c r="C25" i="4"/>
  <c r="E25" i="4"/>
  <c r="A26" i="4"/>
  <c r="A28" i="4"/>
  <c r="C28" i="4"/>
  <c r="C32" i="4" s="1"/>
  <c r="E28" i="4"/>
  <c r="A29" i="4"/>
  <c r="A31" i="4"/>
  <c r="C34" i="4"/>
  <c r="K38" i="4"/>
  <c r="I40" i="4"/>
  <c r="A42" i="4"/>
  <c r="K42" i="4"/>
  <c r="A43" i="4"/>
  <c r="K43" i="4"/>
  <c r="A44" i="4"/>
  <c r="K44" i="4"/>
  <c r="A45" i="4"/>
  <c r="K45" i="4"/>
  <c r="A46" i="4"/>
  <c r="K46" i="4"/>
  <c r="A47" i="4"/>
  <c r="K47" i="4"/>
  <c r="K48" i="4"/>
  <c r="K56" i="4"/>
  <c r="N57" i="4"/>
  <c r="K59" i="4"/>
  <c r="K63" i="4"/>
  <c r="K64" i="4"/>
  <c r="K65" i="4"/>
  <c r="E66" i="4"/>
  <c r="G66" i="4"/>
  <c r="E70" i="4"/>
  <c r="I70" i="4"/>
  <c r="N73" i="4"/>
  <c r="K77" i="4"/>
  <c r="K78" i="4"/>
  <c r="N79" i="4"/>
  <c r="I94" i="4"/>
  <c r="J87" i="3" s="1"/>
  <c r="F5" i="3"/>
  <c r="F74" i="3" s="1"/>
  <c r="AB5" i="3"/>
  <c r="F6" i="3"/>
  <c r="E8" i="4" s="1"/>
  <c r="G8" i="4" s="1"/>
  <c r="AB6" i="3"/>
  <c r="F7" i="3"/>
  <c r="DC7" i="3" s="1"/>
  <c r="Z7" i="3"/>
  <c r="AB7" i="3"/>
  <c r="AQ7" i="3"/>
  <c r="BW7" i="3"/>
  <c r="GU7" i="3"/>
  <c r="J9" i="3"/>
  <c r="D13" i="3"/>
  <c r="F13" i="3" s="1"/>
  <c r="X12" i="3"/>
  <c r="H13" i="3"/>
  <c r="D15" i="3"/>
  <c r="X14" i="3"/>
  <c r="H15" i="3"/>
  <c r="M17" i="3"/>
  <c r="DY114" i="3" s="1"/>
  <c r="M21" i="3"/>
  <c r="D24" i="3"/>
  <c r="X19" i="3" s="1"/>
  <c r="H24" i="3"/>
  <c r="G25" i="4"/>
  <c r="D26" i="3"/>
  <c r="X21" i="3" s="1"/>
  <c r="F26" i="3"/>
  <c r="AA119" i="3" s="1"/>
  <c r="M31" i="3"/>
  <c r="M32" i="3"/>
  <c r="V33" i="3"/>
  <c r="AM33" i="3"/>
  <c r="BC33" i="3"/>
  <c r="BS33" i="3"/>
  <c r="CI33" i="3"/>
  <c r="CY33" i="3"/>
  <c r="DO33" i="3"/>
  <c r="EE33" i="3"/>
  <c r="EU33" i="3"/>
  <c r="FK33" i="3"/>
  <c r="GA33" i="3"/>
  <c r="GQ33" i="3"/>
  <c r="V34" i="3"/>
  <c r="AM34" i="3"/>
  <c r="BC34" i="3"/>
  <c r="BS34" i="3"/>
  <c r="CI34" i="3"/>
  <c r="CY34" i="3"/>
  <c r="DO34" i="3"/>
  <c r="EE34" i="3"/>
  <c r="EU34" i="3"/>
  <c r="FK34" i="3"/>
  <c r="GA34" i="3"/>
  <c r="GQ34" i="3"/>
  <c r="D35" i="3"/>
  <c r="V35" i="3"/>
  <c r="AM35" i="3"/>
  <c r="BC35" i="3"/>
  <c r="BS35" i="3"/>
  <c r="CI35" i="3"/>
  <c r="CY35" i="3"/>
  <c r="DO35" i="3"/>
  <c r="EE35" i="3"/>
  <c r="EU35" i="3"/>
  <c r="FK35" i="3"/>
  <c r="GA35" i="3"/>
  <c r="GQ35" i="3"/>
  <c r="V36" i="3"/>
  <c r="AM36" i="3"/>
  <c r="BC36" i="3"/>
  <c r="BS36" i="3"/>
  <c r="CI36" i="3"/>
  <c r="CY36" i="3"/>
  <c r="DO36" i="3"/>
  <c r="EE36" i="3"/>
  <c r="EU36" i="3"/>
  <c r="FK36" i="3"/>
  <c r="GA36" i="3"/>
  <c r="GQ36" i="3"/>
  <c r="V37" i="3"/>
  <c r="AM37" i="3"/>
  <c r="BC37" i="3"/>
  <c r="BS37" i="3"/>
  <c r="CI37" i="3"/>
  <c r="CY37" i="3"/>
  <c r="DO37" i="3"/>
  <c r="EE37" i="3"/>
  <c r="EU37" i="3"/>
  <c r="FK37" i="3"/>
  <c r="GA37" i="3"/>
  <c r="GQ37" i="3"/>
  <c r="V38" i="3"/>
  <c r="AM38" i="3"/>
  <c r="BC38" i="3"/>
  <c r="BS38" i="3"/>
  <c r="CI38" i="3"/>
  <c r="CY38" i="3"/>
  <c r="DO38" i="3"/>
  <c r="EE38" i="3"/>
  <c r="EU38" i="3"/>
  <c r="FK38" i="3"/>
  <c r="GA38" i="3"/>
  <c r="GQ38" i="3"/>
  <c r="V39" i="3"/>
  <c r="AM39" i="3"/>
  <c r="BC39" i="3"/>
  <c r="BS39" i="3"/>
  <c r="CI39" i="3"/>
  <c r="CY39" i="3"/>
  <c r="DO39" i="3"/>
  <c r="EE39" i="3"/>
  <c r="EU39" i="3"/>
  <c r="FK39" i="3"/>
  <c r="GA39" i="3"/>
  <c r="GQ39" i="3"/>
  <c r="V40" i="3"/>
  <c r="AM40" i="3"/>
  <c r="BC40" i="3"/>
  <c r="BS40" i="3"/>
  <c r="CI40" i="3"/>
  <c r="CY40" i="3"/>
  <c r="DO40" i="3"/>
  <c r="EE40" i="3"/>
  <c r="EU40" i="3"/>
  <c r="FK40" i="3"/>
  <c r="GA40" i="3"/>
  <c r="GQ40" i="3"/>
  <c r="B42" i="3"/>
  <c r="B43" i="3"/>
  <c r="B44" i="3"/>
  <c r="B45" i="3"/>
  <c r="B46" i="3"/>
  <c r="B47" i="3"/>
  <c r="B48" i="3"/>
  <c r="B49" i="3"/>
  <c r="Z61" i="3"/>
  <c r="AB61" i="3"/>
  <c r="AQ61" i="3"/>
  <c r="AS61" i="3"/>
  <c r="BG61" i="3"/>
  <c r="BI61" i="3"/>
  <c r="BW61" i="3"/>
  <c r="BY61" i="3"/>
  <c r="CM61" i="3"/>
  <c r="CO61" i="3"/>
  <c r="DC61" i="3"/>
  <c r="DE61" i="3"/>
  <c r="DS61" i="3"/>
  <c r="DU61" i="3"/>
  <c r="EI61" i="3"/>
  <c r="EK61" i="3"/>
  <c r="EY61" i="3"/>
  <c r="FA61" i="3"/>
  <c r="FO61" i="3"/>
  <c r="FQ61" i="3"/>
  <c r="GE61" i="3"/>
  <c r="GG61" i="3"/>
  <c r="GU61" i="3"/>
  <c r="GW61" i="3"/>
  <c r="P63" i="3"/>
  <c r="CF152" i="3" s="1"/>
  <c r="Z63" i="3"/>
  <c r="AB63" i="3"/>
  <c r="AQ63" i="3"/>
  <c r="AS63" i="3"/>
  <c r="BG63" i="3"/>
  <c r="BI63" i="3"/>
  <c r="BW63" i="3"/>
  <c r="BY63" i="3"/>
  <c r="CM63" i="3"/>
  <c r="CO63" i="3"/>
  <c r="DC63" i="3"/>
  <c r="DE63" i="3"/>
  <c r="DS63" i="3"/>
  <c r="DU63" i="3"/>
  <c r="EI63" i="3"/>
  <c r="EK63" i="3"/>
  <c r="EY63" i="3"/>
  <c r="FA63" i="3"/>
  <c r="FO63" i="3"/>
  <c r="FQ63" i="3"/>
  <c r="GE63" i="3"/>
  <c r="GG63" i="3"/>
  <c r="GU63" i="3"/>
  <c r="GW63" i="3"/>
  <c r="P64" i="3"/>
  <c r="Z64" i="3"/>
  <c r="AD64" i="3"/>
  <c r="AQ64" i="3"/>
  <c r="AU64" i="3"/>
  <c r="BG64" i="3"/>
  <c r="BK64" i="3"/>
  <c r="BW64" i="3"/>
  <c r="CA64" i="3"/>
  <c r="CM64" i="3"/>
  <c r="CQ64" i="3"/>
  <c r="DC64" i="3"/>
  <c r="DG64" i="3"/>
  <c r="DS64" i="3"/>
  <c r="DW64" i="3"/>
  <c r="EI64" i="3"/>
  <c r="EM64" i="3"/>
  <c r="EY64" i="3"/>
  <c r="FC64" i="3"/>
  <c r="FO64" i="3"/>
  <c r="FS64" i="3"/>
  <c r="GE64" i="3"/>
  <c r="GI64" i="3"/>
  <c r="GU64" i="3"/>
  <c r="GY64" i="3"/>
  <c r="P65" i="3"/>
  <c r="DL154" i="3" s="1"/>
  <c r="FX56" i="3"/>
  <c r="B68" i="3"/>
  <c r="B69" i="3"/>
  <c r="F70" i="3"/>
  <c r="H70" i="3"/>
  <c r="F72" i="3"/>
  <c r="H72" i="3"/>
  <c r="F73" i="3"/>
  <c r="J73" i="3"/>
  <c r="P75" i="3"/>
  <c r="DL164" i="3" s="1"/>
  <c r="AZ76" i="3"/>
  <c r="DL76" i="3"/>
  <c r="FX76" i="3"/>
  <c r="M77" i="3"/>
  <c r="M80" i="3"/>
  <c r="AF71" i="3" s="1"/>
  <c r="AI71" i="3" s="1"/>
  <c r="O81" i="3"/>
  <c r="AH72" i="3" s="1"/>
  <c r="P81" i="3"/>
  <c r="AI72" i="3"/>
  <c r="P85" i="3"/>
  <c r="N83" i="4" s="1"/>
  <c r="AB85" i="3"/>
  <c r="AS85" i="3"/>
  <c r="BG85" i="3"/>
  <c r="BI85" i="3"/>
  <c r="BY85" i="3"/>
  <c r="CO85" i="3"/>
  <c r="DE85" i="3" s="1"/>
  <c r="DU85" i="3" s="1"/>
  <c r="EK85" i="3" s="1"/>
  <c r="FA85" i="3" s="1"/>
  <c r="FQ85" i="3" s="1"/>
  <c r="GG85" i="3" s="1"/>
  <c r="GW85" i="3" s="1"/>
  <c r="AC183" i="3" s="1"/>
  <c r="AS183" i="3" s="1"/>
  <c r="BI183" i="3" s="1"/>
  <c r="BY183" i="3" s="1"/>
  <c r="CO183" i="3" s="1"/>
  <c r="DE183" i="3" s="1"/>
  <c r="DU183" i="3" s="1"/>
  <c r="EK183" i="3" s="1"/>
  <c r="FA183" i="3" s="1"/>
  <c r="AB87" i="3"/>
  <c r="AS87" i="3"/>
  <c r="BI87" i="3" s="1"/>
  <c r="BY87" i="3" s="1"/>
  <c r="CO87" i="3" s="1"/>
  <c r="DE87" i="3" s="1"/>
  <c r="DU87" i="3" s="1"/>
  <c r="EK87" i="3" s="1"/>
  <c r="FA87" i="3" s="1"/>
  <c r="FQ87" i="3" s="1"/>
  <c r="GG87" i="3" s="1"/>
  <c r="GW87" i="3" s="1"/>
  <c r="AC185" i="3" s="1"/>
  <c r="AS185" i="3" s="1"/>
  <c r="BI185" i="3" s="1"/>
  <c r="BY185" i="3" s="1"/>
  <c r="CO185" i="3" s="1"/>
  <c r="DE185" i="3" s="1"/>
  <c r="DU185" i="3" s="1"/>
  <c r="EK185" i="3" s="1"/>
  <c r="FA185" i="3" s="1"/>
  <c r="BG87" i="3"/>
  <c r="AA89" i="3"/>
  <c r="AB89" i="3"/>
  <c r="AS89" i="3"/>
  <c r="BI89" i="3" s="1"/>
  <c r="BY89" i="3" s="1"/>
  <c r="CO89" i="3" s="1"/>
  <c r="DE89" i="3" s="1"/>
  <c r="DU89" i="3" s="1"/>
  <c r="EK89" i="3" s="1"/>
  <c r="FA89" i="3" s="1"/>
  <c r="FQ89" i="3" s="1"/>
  <c r="GG89" i="3" s="1"/>
  <c r="GW89" i="3" s="1"/>
  <c r="AC187" i="3" s="1"/>
  <c r="AS187" i="3" s="1"/>
  <c r="BI187" i="3" s="1"/>
  <c r="BY187" i="3" s="1"/>
  <c r="CO187" i="3" s="1"/>
  <c r="DE187" i="3" s="1"/>
  <c r="DU187" i="3" s="1"/>
  <c r="EK187" i="3" s="1"/>
  <c r="FA187" i="3" s="1"/>
  <c r="BG89" i="3"/>
  <c r="K96" i="3"/>
  <c r="AA105" i="3"/>
  <c r="AQ105" i="3"/>
  <c r="AU153" i="3" s="1"/>
  <c r="BG105" i="3"/>
  <c r="BW105" i="3"/>
  <c r="CM105" i="3"/>
  <c r="DC105" i="3"/>
  <c r="DS105" i="3"/>
  <c r="EI105" i="3"/>
  <c r="EY105" i="3"/>
  <c r="AC110" i="3"/>
  <c r="AC112" i="3" s="1"/>
  <c r="AS110" i="3"/>
  <c r="AS112" i="3" s="1"/>
  <c r="BI110" i="3"/>
  <c r="BU110" i="3"/>
  <c r="BU116" i="3" s="1"/>
  <c r="BW110" i="3"/>
  <c r="BY110" i="3"/>
  <c r="CO110" i="3"/>
  <c r="CO112" i="3" s="1"/>
  <c r="DA110" i="3"/>
  <c r="DE110" i="3"/>
  <c r="DU110" i="3"/>
  <c r="EG110" i="3"/>
  <c r="EK110" i="3"/>
  <c r="FA110" i="3"/>
  <c r="FA112" i="3" s="1"/>
  <c r="Y112" i="3"/>
  <c r="AO112" i="3"/>
  <c r="BE112" i="3"/>
  <c r="BI112" i="3"/>
  <c r="BU112" i="3"/>
  <c r="BY112" i="3"/>
  <c r="CK112" i="3"/>
  <c r="DA112" i="3"/>
  <c r="DE112" i="3"/>
  <c r="DQ112" i="3"/>
  <c r="DU112" i="3"/>
  <c r="EG112" i="3"/>
  <c r="EG116" i="3" s="1"/>
  <c r="EK112" i="3"/>
  <c r="EW112" i="3"/>
  <c r="Y117" i="3"/>
  <c r="Y122" i="3" s="1"/>
  <c r="AC117" i="3"/>
  <c r="AC119" i="3" s="1"/>
  <c r="AO117" i="3"/>
  <c r="AS117" i="3"/>
  <c r="BE117" i="3"/>
  <c r="BE122" i="3" s="1"/>
  <c r="BI117" i="3"/>
  <c r="BI119" i="3" s="1"/>
  <c r="BU117" i="3"/>
  <c r="BY117" i="3"/>
  <c r="BY119" i="3" s="1"/>
  <c r="CK117" i="3"/>
  <c r="CK122" i="3" s="1"/>
  <c r="CO117" i="3"/>
  <c r="DA117" i="3"/>
  <c r="DE117" i="3"/>
  <c r="DQ117" i="3"/>
  <c r="DU117" i="3"/>
  <c r="EG117" i="3"/>
  <c r="EK117" i="3"/>
  <c r="EK119" i="3" s="1"/>
  <c r="EW117" i="3"/>
  <c r="EW122" i="3" s="1"/>
  <c r="FA117" i="3"/>
  <c r="Y119" i="3"/>
  <c r="AO119" i="3"/>
  <c r="AS119" i="3"/>
  <c r="BE119" i="3"/>
  <c r="BG119" i="3"/>
  <c r="BU119" i="3"/>
  <c r="CK119" i="3"/>
  <c r="CO119" i="3"/>
  <c r="DA119" i="3"/>
  <c r="DA122" i="3" s="1"/>
  <c r="DC119" i="3"/>
  <c r="DE119" i="3"/>
  <c r="DQ119" i="3"/>
  <c r="DU119" i="3"/>
  <c r="EG119" i="3"/>
  <c r="EW119" i="3"/>
  <c r="EY119" i="3"/>
  <c r="FA119" i="3"/>
  <c r="DQ122" i="3"/>
  <c r="BE124" i="3"/>
  <c r="DQ124" i="3"/>
  <c r="W131" i="3"/>
  <c r="AM131" i="3"/>
  <c r="BC131" i="3"/>
  <c r="BS131" i="3"/>
  <c r="CI131" i="3"/>
  <c r="CY131" i="3"/>
  <c r="DO131" i="3"/>
  <c r="EE131" i="3"/>
  <c r="EU131" i="3"/>
  <c r="W132" i="3"/>
  <c r="AM132" i="3"/>
  <c r="BC132" i="3"/>
  <c r="BS132" i="3"/>
  <c r="CI132" i="3"/>
  <c r="CY132" i="3"/>
  <c r="DO132" i="3"/>
  <c r="EE132" i="3"/>
  <c r="EU132" i="3"/>
  <c r="W133" i="3"/>
  <c r="AM133" i="3"/>
  <c r="BC133" i="3"/>
  <c r="BS133" i="3"/>
  <c r="CI133" i="3"/>
  <c r="CY133" i="3"/>
  <c r="DO133" i="3"/>
  <c r="EE133" i="3"/>
  <c r="EU133" i="3"/>
  <c r="W134" i="3"/>
  <c r="AM134" i="3"/>
  <c r="BC134" i="3"/>
  <c r="BS134" i="3"/>
  <c r="CI134" i="3"/>
  <c r="CY134" i="3"/>
  <c r="DO134" i="3"/>
  <c r="EE134" i="3"/>
  <c r="EU134" i="3"/>
  <c r="W135" i="3"/>
  <c r="AM135" i="3"/>
  <c r="BC135" i="3"/>
  <c r="BS135" i="3"/>
  <c r="CI135" i="3"/>
  <c r="CY135" i="3"/>
  <c r="DO135" i="3"/>
  <c r="EE135" i="3"/>
  <c r="EU135" i="3"/>
  <c r="W136" i="3"/>
  <c r="AM136" i="3"/>
  <c r="BC136" i="3"/>
  <c r="BS136" i="3"/>
  <c r="CI136" i="3"/>
  <c r="CY136" i="3"/>
  <c r="DO136" i="3"/>
  <c r="EE136" i="3"/>
  <c r="EU136" i="3"/>
  <c r="W137" i="3"/>
  <c r="AM137" i="3"/>
  <c r="BC137" i="3"/>
  <c r="BS137" i="3"/>
  <c r="CI137" i="3"/>
  <c r="CY137" i="3"/>
  <c r="DO137" i="3"/>
  <c r="EE137" i="3"/>
  <c r="EU137" i="3"/>
  <c r="W138" i="3"/>
  <c r="AM138" i="3"/>
  <c r="BC138" i="3"/>
  <c r="BS138" i="3"/>
  <c r="CI138" i="3"/>
  <c r="CY138" i="3"/>
  <c r="DO138" i="3"/>
  <c r="EE138" i="3"/>
  <c r="EU138" i="3"/>
  <c r="AJ153" i="3"/>
  <c r="AZ153" i="3"/>
  <c r="BP153" i="3"/>
  <c r="BK153" i="3" s="1"/>
  <c r="CF153" i="3"/>
  <c r="CV153" i="3"/>
  <c r="DL153" i="3"/>
  <c r="DG153" i="3" s="1"/>
  <c r="EB153" i="3"/>
  <c r="ER153" i="3"/>
  <c r="FH153" i="3"/>
  <c r="BP154" i="3"/>
  <c r="BK154" i="3" s="1"/>
  <c r="CV154" i="3"/>
  <c r="FH154" i="3"/>
  <c r="AA159" i="3"/>
  <c r="AC159" i="3"/>
  <c r="AQ159" i="3"/>
  <c r="AS159" i="3"/>
  <c r="BG159" i="3"/>
  <c r="BI159" i="3"/>
  <c r="BW159" i="3"/>
  <c r="BY159" i="3"/>
  <c r="CM159" i="3"/>
  <c r="CO159" i="3"/>
  <c r="DC159" i="3"/>
  <c r="DE159" i="3"/>
  <c r="DS159" i="3"/>
  <c r="DU159" i="3"/>
  <c r="EI159" i="3"/>
  <c r="EK159" i="3"/>
  <c r="EY159" i="3"/>
  <c r="FA159" i="3"/>
  <c r="AA161" i="3"/>
  <c r="AC161" i="3"/>
  <c r="AQ161" i="3"/>
  <c r="AS161" i="3"/>
  <c r="BG161" i="3"/>
  <c r="BI161" i="3"/>
  <c r="BW161" i="3"/>
  <c r="BY161" i="3"/>
  <c r="CM161" i="3"/>
  <c r="CO161" i="3"/>
  <c r="DC161" i="3"/>
  <c r="DE161" i="3"/>
  <c r="DS161" i="3"/>
  <c r="DU161" i="3"/>
  <c r="EI161" i="3"/>
  <c r="EK161" i="3"/>
  <c r="EY161" i="3"/>
  <c r="FA161" i="3"/>
  <c r="AA162" i="3"/>
  <c r="AE162" i="3"/>
  <c r="AQ162" i="3"/>
  <c r="AU162" i="3"/>
  <c r="BG162" i="3"/>
  <c r="BK162" i="3"/>
  <c r="BW162" i="3"/>
  <c r="CA162" i="3"/>
  <c r="CM162" i="3"/>
  <c r="CQ162" i="3"/>
  <c r="DC162" i="3"/>
  <c r="DG162" i="3"/>
  <c r="DS162" i="3"/>
  <c r="DW162" i="3"/>
  <c r="EI162" i="3"/>
  <c r="EM162" i="3"/>
  <c r="EY162" i="3"/>
  <c r="FC162" i="3"/>
  <c r="CV164" i="3"/>
  <c r="AG169" i="3"/>
  <c r="AW169" i="3"/>
  <c r="DI169" i="3"/>
  <c r="DY169" i="3"/>
  <c r="FE169" i="3"/>
  <c r="AJ174" i="3"/>
  <c r="AZ174" i="3"/>
  <c r="BP174" i="3"/>
  <c r="CF174" i="3"/>
  <c r="CV174" i="3"/>
  <c r="DL174" i="3"/>
  <c r="EB174" i="3"/>
  <c r="ER174" i="3"/>
  <c r="FH174" i="3"/>
  <c r="A1" i="5"/>
  <c r="A3" i="5"/>
  <c r="B3" i="5"/>
  <c r="A5" i="5"/>
  <c r="B5" i="5"/>
  <c r="D5" i="5"/>
  <c r="E5" i="5"/>
  <c r="G5" i="5"/>
  <c r="H5" i="5"/>
  <c r="B6" i="5"/>
  <c r="D6" i="5"/>
  <c r="B7" i="5"/>
  <c r="D7" i="5"/>
  <c r="E7" i="5"/>
  <c r="G7" i="5"/>
  <c r="H7" i="5"/>
  <c r="B8" i="5"/>
  <c r="D8" i="5"/>
  <c r="B9" i="5"/>
  <c r="D9" i="5"/>
  <c r="G9" i="5"/>
  <c r="H9" i="5"/>
  <c r="B10" i="5"/>
  <c r="D10" i="5"/>
  <c r="E10" i="5"/>
  <c r="G10" i="5"/>
  <c r="H10" i="5"/>
  <c r="B11" i="5"/>
  <c r="D11" i="5"/>
  <c r="B12" i="5"/>
  <c r="D12" i="5"/>
  <c r="E12" i="5"/>
  <c r="G12" i="5"/>
  <c r="H12" i="5"/>
  <c r="B13" i="5"/>
  <c r="D13" i="5"/>
  <c r="B14" i="5"/>
  <c r="D14" i="5"/>
  <c r="G14" i="5"/>
  <c r="H14" i="5"/>
  <c r="B15" i="5"/>
  <c r="D15" i="5"/>
  <c r="G15" i="5"/>
  <c r="H15" i="5"/>
  <c r="B16" i="5"/>
  <c r="D16" i="5"/>
  <c r="E16" i="5"/>
  <c r="G16" i="5"/>
  <c r="H16" i="5"/>
  <c r="A17" i="5"/>
  <c r="B17" i="5"/>
  <c r="D17" i="5"/>
  <c r="F17" i="5"/>
  <c r="B18" i="5"/>
  <c r="D18" i="5"/>
  <c r="E18" i="5"/>
  <c r="B19" i="5"/>
  <c r="D19" i="5"/>
  <c r="E19" i="5"/>
  <c r="G19" i="5"/>
  <c r="B20" i="5"/>
  <c r="D20" i="5"/>
  <c r="F20" i="5"/>
  <c r="B21" i="5"/>
  <c r="D21" i="5"/>
  <c r="E21" i="5"/>
  <c r="B22" i="5"/>
  <c r="D22" i="5"/>
  <c r="E22" i="5"/>
  <c r="G22" i="5"/>
  <c r="B23" i="5"/>
  <c r="D23" i="5"/>
  <c r="E23" i="5"/>
  <c r="F23" i="5"/>
  <c r="A24" i="5"/>
  <c r="D24" i="5"/>
  <c r="B25" i="5"/>
  <c r="D25" i="5"/>
  <c r="E25" i="5"/>
  <c r="B26" i="5"/>
  <c r="D26" i="5"/>
  <c r="E26" i="5"/>
  <c r="B27" i="5"/>
  <c r="D27" i="5"/>
  <c r="E27" i="5"/>
  <c r="B28" i="5"/>
  <c r="D28" i="5"/>
  <c r="A29" i="5"/>
  <c r="G29" i="5"/>
  <c r="H29" i="5"/>
  <c r="A30" i="5"/>
  <c r="B30" i="5"/>
  <c r="D30" i="5"/>
  <c r="E30" i="5"/>
  <c r="F30" i="5"/>
  <c r="G30" i="5"/>
  <c r="B31" i="5"/>
  <c r="D31" i="5"/>
  <c r="F31" i="5"/>
  <c r="B32" i="5"/>
  <c r="D32" i="5"/>
  <c r="B33" i="5"/>
  <c r="D33" i="5"/>
  <c r="B34" i="5"/>
  <c r="D34" i="5"/>
  <c r="E34" i="5"/>
  <c r="B35" i="5"/>
  <c r="D35" i="5"/>
  <c r="B36" i="5"/>
  <c r="D36" i="5"/>
  <c r="B37" i="5"/>
  <c r="D37" i="5"/>
  <c r="E37" i="5"/>
  <c r="B38" i="5"/>
  <c r="D38" i="5"/>
  <c r="E38" i="5"/>
  <c r="B39" i="5"/>
  <c r="D39" i="5"/>
  <c r="A40" i="5"/>
  <c r="B40" i="5"/>
  <c r="D40" i="5"/>
  <c r="B41" i="5"/>
  <c r="D41" i="5"/>
  <c r="B42" i="5"/>
  <c r="D42" i="5"/>
  <c r="E42" i="5"/>
  <c r="F42" i="5"/>
  <c r="G42" i="5"/>
  <c r="B43" i="5"/>
  <c r="D43" i="5"/>
  <c r="B44" i="5"/>
  <c r="D44" i="5"/>
  <c r="B45" i="5"/>
  <c r="D45" i="5"/>
  <c r="H45" i="5"/>
  <c r="E46" i="5"/>
  <c r="G46" i="5"/>
  <c r="A47" i="5"/>
  <c r="B47" i="5"/>
  <c r="D47" i="5"/>
  <c r="E47" i="5"/>
  <c r="B48" i="5"/>
  <c r="D48" i="5"/>
  <c r="E48" i="5"/>
  <c r="B49" i="5"/>
  <c r="D49" i="5"/>
  <c r="E49" i="5"/>
  <c r="A50" i="5"/>
  <c r="B50" i="5"/>
  <c r="D50" i="5"/>
  <c r="E50" i="5"/>
  <c r="G50" i="5"/>
  <c r="B51" i="5"/>
  <c r="C51" i="5"/>
  <c r="D51" i="5"/>
  <c r="G51" i="5"/>
  <c r="H51" i="5"/>
  <c r="B52" i="5"/>
  <c r="C52" i="5"/>
  <c r="D52" i="5"/>
  <c r="G52" i="5"/>
  <c r="H52" i="5"/>
  <c r="C53" i="5"/>
  <c r="D53" i="5"/>
  <c r="G53" i="5"/>
  <c r="H53" i="5"/>
  <c r="C54" i="5"/>
  <c r="D54" i="5"/>
  <c r="G54" i="5"/>
  <c r="H54" i="5"/>
  <c r="B55" i="5"/>
  <c r="D55" i="5"/>
  <c r="B56" i="5"/>
  <c r="D56" i="5"/>
  <c r="G56" i="5"/>
  <c r="H56" i="5"/>
  <c r="B57" i="5"/>
  <c r="C57" i="5"/>
  <c r="D57" i="5"/>
  <c r="G57" i="5"/>
  <c r="H57" i="5"/>
  <c r="C58" i="5"/>
  <c r="D58" i="5"/>
  <c r="G58" i="5"/>
  <c r="H58" i="5"/>
  <c r="C59" i="5"/>
  <c r="D59" i="5"/>
  <c r="G59" i="5"/>
  <c r="H59" i="5"/>
  <c r="B60" i="5"/>
  <c r="D60" i="5"/>
  <c r="D61" i="5"/>
  <c r="E61" i="5"/>
  <c r="F61" i="5"/>
  <c r="A62" i="5"/>
  <c r="B62" i="5"/>
  <c r="D62" i="5"/>
  <c r="E62" i="5"/>
  <c r="F62" i="5"/>
  <c r="B63" i="5"/>
  <c r="D63" i="5"/>
  <c r="E63" i="5"/>
  <c r="A65" i="5"/>
  <c r="B65" i="5"/>
  <c r="D65" i="5"/>
  <c r="E65" i="5"/>
  <c r="F65" i="5"/>
  <c r="G65" i="5"/>
  <c r="A66" i="5"/>
  <c r="B66" i="5"/>
  <c r="D66" i="5"/>
  <c r="E66" i="5"/>
  <c r="F66" i="5"/>
  <c r="G66" i="5"/>
  <c r="B67" i="5"/>
  <c r="D67" i="5"/>
  <c r="E67" i="5"/>
  <c r="F67" i="5"/>
  <c r="G67" i="5"/>
  <c r="B68" i="5"/>
  <c r="D68" i="5"/>
  <c r="E68" i="5"/>
  <c r="F68" i="5"/>
  <c r="G68" i="5"/>
  <c r="B69" i="5"/>
  <c r="D69" i="5"/>
  <c r="E69" i="5"/>
  <c r="F69" i="5"/>
  <c r="G69" i="5"/>
  <c r="B70" i="5"/>
  <c r="D70" i="5"/>
  <c r="E70" i="5"/>
  <c r="F70" i="5"/>
  <c r="G70" i="5"/>
  <c r="B71" i="5"/>
  <c r="D71" i="5"/>
  <c r="E71" i="5"/>
  <c r="F71" i="5"/>
  <c r="G71" i="5"/>
  <c r="B72" i="5"/>
  <c r="D72" i="5"/>
  <c r="E72" i="5"/>
  <c r="F72" i="5"/>
  <c r="G72" i="5"/>
  <c r="A73" i="5"/>
  <c r="B73" i="5"/>
  <c r="D73" i="5"/>
  <c r="E73" i="5"/>
  <c r="F73" i="5"/>
  <c r="G73" i="5"/>
  <c r="B74" i="5"/>
  <c r="D74" i="5"/>
  <c r="E74" i="5"/>
  <c r="F74" i="5"/>
  <c r="G74" i="5"/>
  <c r="B75" i="5"/>
  <c r="D75" i="5"/>
  <c r="E75" i="5"/>
  <c r="F75" i="5"/>
  <c r="G75" i="5"/>
  <c r="B76" i="5"/>
  <c r="D76" i="5"/>
  <c r="E76" i="5"/>
  <c r="F76" i="5"/>
  <c r="G76" i="5"/>
  <c r="B77" i="5"/>
  <c r="D77" i="5"/>
  <c r="E77" i="5"/>
  <c r="G77" i="5"/>
  <c r="B78" i="5"/>
  <c r="D78" i="5"/>
  <c r="E78" i="5"/>
  <c r="F78" i="5"/>
  <c r="G78" i="5"/>
  <c r="A79" i="5"/>
  <c r="B79" i="5"/>
  <c r="D79" i="5"/>
  <c r="E79" i="5"/>
  <c r="F79" i="5"/>
  <c r="G79" i="5"/>
  <c r="H79" i="5"/>
  <c r="B80" i="5"/>
  <c r="D80" i="5"/>
  <c r="E80" i="5"/>
  <c r="F80" i="5"/>
  <c r="G80" i="5"/>
  <c r="H80" i="5"/>
  <c r="B81" i="5"/>
  <c r="D81" i="5"/>
  <c r="E81" i="5"/>
  <c r="F81" i="5"/>
  <c r="G81" i="5"/>
  <c r="H81" i="5"/>
  <c r="B82" i="5"/>
  <c r="D82" i="5"/>
  <c r="E82" i="5"/>
  <c r="F82" i="5"/>
  <c r="G82" i="5"/>
  <c r="A83" i="5"/>
  <c r="B83" i="5"/>
  <c r="D83" i="5"/>
  <c r="E83" i="5"/>
  <c r="F83" i="5"/>
  <c r="G83" i="5"/>
  <c r="D84" i="5"/>
  <c r="E84" i="5"/>
  <c r="F84" i="5"/>
  <c r="G84" i="5"/>
  <c r="D85" i="5"/>
  <c r="E85" i="5"/>
  <c r="F85" i="5"/>
  <c r="G85" i="5"/>
  <c r="D86" i="5"/>
  <c r="E86" i="5"/>
  <c r="F86" i="5"/>
  <c r="G86" i="5"/>
  <c r="B87" i="5"/>
  <c r="D87" i="5"/>
  <c r="F88" i="5"/>
  <c r="A89" i="5"/>
  <c r="B89" i="5"/>
  <c r="D89" i="5"/>
  <c r="F89" i="5"/>
  <c r="A90" i="5"/>
  <c r="B90" i="5"/>
  <c r="D90" i="5"/>
  <c r="E90" i="5"/>
  <c r="F90" i="5"/>
  <c r="G90" i="5"/>
  <c r="H90" i="5"/>
  <c r="A91" i="5"/>
  <c r="D91" i="5"/>
  <c r="E91" i="5"/>
  <c r="F91" i="5"/>
  <c r="G91" i="5"/>
  <c r="H91" i="5"/>
  <c r="B92" i="5"/>
  <c r="D92" i="5"/>
  <c r="E92" i="5"/>
  <c r="F92" i="5"/>
  <c r="G92" i="5"/>
  <c r="H92" i="5"/>
  <c r="B93" i="5"/>
  <c r="D93" i="5"/>
  <c r="E93" i="5"/>
  <c r="F93" i="5"/>
  <c r="G93" i="5"/>
  <c r="H93" i="5"/>
  <c r="A94" i="5"/>
  <c r="D94" i="5"/>
  <c r="G94" i="5"/>
  <c r="B95" i="5"/>
  <c r="D95" i="5"/>
  <c r="G95" i="5"/>
  <c r="A96" i="5"/>
  <c r="D96" i="5"/>
  <c r="B97" i="5"/>
  <c r="D97" i="5"/>
  <c r="B98" i="5"/>
  <c r="D98" i="5"/>
  <c r="B99" i="5"/>
  <c r="D99" i="5"/>
  <c r="E99" i="5"/>
  <c r="F99" i="5"/>
  <c r="B100" i="5"/>
  <c r="D100" i="5"/>
  <c r="E100" i="5"/>
  <c r="B101" i="5"/>
  <c r="D101" i="5"/>
  <c r="E101" i="5"/>
  <c r="B102" i="5"/>
  <c r="D102" i="5"/>
  <c r="E102" i="5"/>
  <c r="B103" i="5"/>
  <c r="D103" i="5"/>
  <c r="E103" i="5"/>
  <c r="F103" i="5"/>
  <c r="A104" i="5"/>
  <c r="D104" i="5"/>
  <c r="E104" i="5"/>
  <c r="B105" i="5"/>
  <c r="D105" i="5"/>
  <c r="B106" i="5"/>
  <c r="E106" i="5"/>
  <c r="A107" i="5"/>
  <c r="B107" i="5"/>
  <c r="D107" i="5"/>
  <c r="B108" i="5"/>
  <c r="B109" i="5"/>
  <c r="D109" i="5"/>
  <c r="B110" i="5"/>
  <c r="D110" i="5"/>
  <c r="B111" i="5"/>
  <c r="D111" i="5"/>
  <c r="B112" i="5"/>
  <c r="D112" i="5"/>
  <c r="B113" i="5"/>
  <c r="D113" i="5"/>
  <c r="A114" i="5"/>
  <c r="B114" i="5"/>
  <c r="D114" i="5"/>
  <c r="E114" i="5"/>
  <c r="F114" i="5"/>
  <c r="G114" i="5"/>
  <c r="H114" i="5"/>
  <c r="B115" i="5"/>
  <c r="D115" i="5"/>
  <c r="E115" i="5"/>
  <c r="F115" i="5"/>
  <c r="G115" i="5"/>
  <c r="H115" i="5"/>
  <c r="D116" i="5"/>
  <c r="E116" i="5"/>
  <c r="B117" i="5"/>
  <c r="E117" i="5"/>
  <c r="F117" i="5"/>
  <c r="G117" i="5"/>
  <c r="B118" i="5"/>
  <c r="D118" i="5"/>
  <c r="F118" i="5"/>
  <c r="G118" i="5"/>
  <c r="B119" i="5"/>
  <c r="D119" i="5"/>
  <c r="E119" i="5"/>
  <c r="B120" i="5"/>
  <c r="D120" i="5"/>
  <c r="E120" i="5"/>
  <c r="A122" i="5"/>
  <c r="B123" i="5"/>
  <c r="E123" i="5"/>
  <c r="B124" i="5"/>
  <c r="E124" i="5"/>
  <c r="B125" i="5"/>
  <c r="E125" i="5"/>
  <c r="B126" i="5"/>
  <c r="B127" i="5"/>
  <c r="E127" i="5"/>
  <c r="B128" i="5"/>
  <c r="E128" i="5"/>
  <c r="B129" i="5"/>
  <c r="E129" i="5"/>
  <c r="B131" i="5"/>
  <c r="D131" i="5"/>
  <c r="E131" i="5"/>
  <c r="H131" i="5"/>
  <c r="B132" i="5"/>
  <c r="D132" i="5"/>
  <c r="E132" i="5"/>
  <c r="H132" i="5"/>
  <c r="B133" i="5"/>
  <c r="E133" i="5"/>
  <c r="B134" i="5"/>
  <c r="D134" i="5"/>
  <c r="E134" i="5"/>
  <c r="H134" i="5"/>
  <c r="A136" i="5"/>
  <c r="B137" i="5"/>
  <c r="E137" i="5"/>
  <c r="B138" i="5"/>
  <c r="E138" i="5"/>
  <c r="B139" i="5"/>
  <c r="E139" i="5"/>
  <c r="B140" i="5"/>
  <c r="B141" i="5"/>
  <c r="E141" i="5"/>
  <c r="B142" i="5"/>
  <c r="E142" i="5"/>
  <c r="B143" i="5"/>
  <c r="E143" i="5"/>
  <c r="B144" i="5"/>
  <c r="E144" i="5"/>
  <c r="B145" i="5"/>
  <c r="E145" i="5"/>
  <c r="B146" i="5"/>
  <c r="E146" i="5"/>
  <c r="B147" i="5"/>
  <c r="E147" i="5"/>
  <c r="B148" i="5"/>
  <c r="E148" i="5"/>
  <c r="E149" i="5"/>
  <c r="B150" i="5"/>
  <c r="A151" i="5"/>
  <c r="E151" i="5"/>
  <c r="B152" i="5"/>
  <c r="E152" i="5"/>
  <c r="B153" i="5"/>
  <c r="E153" i="5"/>
  <c r="B154" i="5"/>
  <c r="E154" i="5"/>
  <c r="B155" i="5"/>
  <c r="B156" i="5"/>
  <c r="E156" i="5"/>
  <c r="B157" i="5"/>
  <c r="E157" i="5"/>
  <c r="B158" i="5"/>
  <c r="E158" i="5"/>
  <c r="B159" i="5"/>
  <c r="E159" i="5"/>
  <c r="B160" i="5"/>
  <c r="E160" i="5"/>
  <c r="B161" i="5"/>
  <c r="B162" i="5"/>
  <c r="E162" i="5"/>
  <c r="B163" i="5"/>
  <c r="E163" i="5"/>
  <c r="E164" i="5"/>
  <c r="F164" i="5"/>
  <c r="B165" i="5"/>
  <c r="A166" i="5"/>
  <c r="B167" i="5"/>
  <c r="E167" i="5"/>
  <c r="B168" i="5"/>
  <c r="E168" i="5"/>
  <c r="B169" i="5"/>
  <c r="E169" i="5"/>
  <c r="B170" i="5"/>
  <c r="B171" i="5"/>
  <c r="E171" i="5"/>
  <c r="B172" i="5"/>
  <c r="E172" i="5"/>
  <c r="B173" i="5"/>
  <c r="E173" i="5"/>
  <c r="B174" i="5"/>
  <c r="E174" i="5"/>
  <c r="B175" i="5"/>
  <c r="E175" i="5"/>
  <c r="B176" i="5"/>
  <c r="E176" i="5"/>
  <c r="B177" i="5"/>
  <c r="E177" i="5"/>
  <c r="B178" i="5"/>
  <c r="E178" i="5"/>
  <c r="E179" i="5"/>
  <c r="B180" i="5"/>
  <c r="A181" i="5"/>
  <c r="B181" i="5"/>
  <c r="E181" i="5"/>
  <c r="B182" i="5"/>
  <c r="E182" i="5"/>
  <c r="B183" i="5"/>
  <c r="E183" i="5"/>
  <c r="B184" i="5"/>
  <c r="B185" i="5"/>
  <c r="E185" i="5"/>
  <c r="B186" i="5"/>
  <c r="B187" i="5"/>
  <c r="E187" i="5"/>
  <c r="B188" i="5"/>
  <c r="E188" i="5"/>
  <c r="F188" i="5"/>
  <c r="B189" i="5"/>
  <c r="B190" i="5"/>
  <c r="E190" i="5"/>
  <c r="B191" i="5"/>
  <c r="E191" i="5"/>
  <c r="B192" i="5"/>
  <c r="E192" i="5"/>
  <c r="F192" i="5"/>
  <c r="B193" i="5"/>
  <c r="A194" i="5"/>
  <c r="B194" i="5"/>
  <c r="E194" i="5"/>
  <c r="B195" i="5"/>
  <c r="E195" i="5"/>
  <c r="B196" i="5"/>
  <c r="E196" i="5"/>
  <c r="B197" i="5"/>
  <c r="B198" i="5"/>
  <c r="E198" i="5"/>
  <c r="B199" i="5"/>
  <c r="E199" i="5"/>
  <c r="B200" i="5"/>
  <c r="E200" i="5"/>
  <c r="B201" i="5"/>
  <c r="E201" i="5"/>
  <c r="B202" i="5"/>
  <c r="E202" i="5"/>
  <c r="B203" i="5"/>
  <c r="E203" i="5"/>
  <c r="B204" i="5"/>
  <c r="E204" i="5"/>
  <c r="A205" i="5"/>
  <c r="B205" i="5"/>
  <c r="E205" i="5"/>
  <c r="B206" i="5"/>
  <c r="E206" i="5"/>
  <c r="B207" i="5"/>
  <c r="E207" i="5"/>
  <c r="F207" i="5"/>
  <c r="B208" i="5"/>
  <c r="F208" i="5"/>
  <c r="B209" i="5"/>
  <c r="E209" i="5"/>
  <c r="F209" i="5"/>
  <c r="B210" i="5"/>
  <c r="E210" i="5"/>
  <c r="F210" i="5"/>
  <c r="B211" i="5"/>
  <c r="E211" i="5"/>
  <c r="F211" i="5"/>
  <c r="B212" i="5"/>
  <c r="E212" i="5"/>
  <c r="B213" i="5"/>
  <c r="E213" i="5"/>
  <c r="B214" i="5"/>
  <c r="E214" i="5"/>
  <c r="B215" i="5"/>
  <c r="E215" i="5"/>
  <c r="B216" i="5"/>
  <c r="E216" i="5"/>
  <c r="B217" i="5"/>
  <c r="E217" i="5"/>
  <c r="A218" i="5"/>
  <c r="B218" i="5"/>
  <c r="E218" i="5"/>
  <c r="B219" i="5"/>
  <c r="E219" i="5"/>
  <c r="B220" i="5"/>
  <c r="E220" i="5"/>
  <c r="F220" i="5"/>
  <c r="B221" i="5"/>
  <c r="F221" i="5"/>
  <c r="B222" i="5"/>
  <c r="E222" i="5"/>
  <c r="F222" i="5"/>
  <c r="B223" i="5"/>
  <c r="E223" i="5"/>
  <c r="F223" i="5"/>
  <c r="B224" i="5"/>
  <c r="E224" i="5"/>
  <c r="B225" i="5"/>
  <c r="F225" i="5"/>
  <c r="B226" i="5"/>
  <c r="E226" i="5"/>
  <c r="B227" i="5"/>
  <c r="E227" i="5"/>
  <c r="B228" i="5"/>
  <c r="E228" i="5"/>
  <c r="B229" i="5"/>
  <c r="E229" i="5"/>
  <c r="B230" i="5"/>
  <c r="E230" i="5"/>
  <c r="B231" i="5"/>
  <c r="E231" i="5"/>
  <c r="F231" i="5"/>
  <c r="B232" i="5"/>
  <c r="A233" i="5"/>
  <c r="B233" i="5"/>
  <c r="E233" i="5"/>
  <c r="F233" i="5"/>
  <c r="B234" i="5"/>
  <c r="E234" i="5"/>
  <c r="D235" i="5"/>
  <c r="E235" i="5"/>
  <c r="D236" i="5"/>
  <c r="E236" i="5"/>
  <c r="D237" i="5"/>
  <c r="F237" i="5"/>
  <c r="D238" i="5"/>
  <c r="F238" i="5"/>
  <c r="F239" i="5"/>
  <c r="AH71" i="3"/>
  <c r="FE68" i="3"/>
  <c r="DY68" i="3"/>
  <c r="HD66" i="3"/>
  <c r="ER66" i="3"/>
  <c r="DL66" i="3"/>
  <c r="CF66" i="3"/>
  <c r="J61" i="4"/>
  <c r="N61" i="4"/>
  <c r="AI55" i="3"/>
  <c r="AD55" i="3" s="1"/>
  <c r="BP55" i="3"/>
  <c r="CV55" i="3"/>
  <c r="EB55" i="3"/>
  <c r="FH55" i="3"/>
  <c r="GN55" i="3"/>
  <c r="AZ55" i="3"/>
  <c r="AU55" i="3"/>
  <c r="CF55" i="3"/>
  <c r="DL55" i="3"/>
  <c r="ER55" i="3"/>
  <c r="FX55" i="3"/>
  <c r="HD55" i="3"/>
  <c r="GY55" i="3" s="1"/>
  <c r="J64" i="3"/>
  <c r="HD56" i="3"/>
  <c r="HA71" i="3"/>
  <c r="GK71" i="3"/>
  <c r="FU71" i="3"/>
  <c r="FE71" i="3"/>
  <c r="EO71" i="3"/>
  <c r="DY71" i="3"/>
  <c r="DI71" i="3"/>
  <c r="CS71" i="3"/>
  <c r="CC71" i="3"/>
  <c r="BM71" i="3"/>
  <c r="AW71" i="3"/>
  <c r="GN66" i="3"/>
  <c r="FH66" i="3"/>
  <c r="EB66" i="3"/>
  <c r="AZ56" i="3"/>
  <c r="AU56" i="3" s="1"/>
  <c r="CF56" i="3"/>
  <c r="AI56" i="3"/>
  <c r="AD56" i="3" s="1"/>
  <c r="EB56" i="3"/>
  <c r="FH56" i="3"/>
  <c r="J65" i="3"/>
  <c r="FM26" i="3"/>
  <c r="DA26" i="3"/>
  <c r="X24" i="3"/>
  <c r="X26" i="3"/>
  <c r="AE7" i="3" s="1"/>
  <c r="BE26" i="3"/>
  <c r="CK26" i="3"/>
  <c r="DQ26" i="3"/>
  <c r="EW26" i="3"/>
  <c r="GC26" i="3"/>
  <c r="GS26" i="3"/>
  <c r="EG26" i="3"/>
  <c r="BU26" i="3"/>
  <c r="Z21" i="3"/>
  <c r="AQ21" i="3"/>
  <c r="BG21" i="3"/>
  <c r="BW21" i="3"/>
  <c r="CM21" i="3"/>
  <c r="DC21" i="3"/>
  <c r="DS21" i="3"/>
  <c r="EI21" i="3"/>
  <c r="EY21" i="3"/>
  <c r="FO21" i="3"/>
  <c r="GE21" i="3"/>
  <c r="GU21" i="3"/>
  <c r="H26" i="3"/>
  <c r="G28" i="4" s="1"/>
  <c r="F24" i="3"/>
  <c r="GS21" i="3"/>
  <c r="GC21" i="3"/>
  <c r="FM21" i="3"/>
  <c r="EW21" i="3"/>
  <c r="EG21" i="3"/>
  <c r="DQ21" i="3"/>
  <c r="DA21" i="3"/>
  <c r="DA24" i="3" s="1"/>
  <c r="CK21" i="3"/>
  <c r="BU21" i="3"/>
  <c r="BE21" i="3"/>
  <c r="AO21" i="3"/>
  <c r="GW19" i="3"/>
  <c r="GW21" i="3"/>
  <c r="GS19" i="3"/>
  <c r="GS24" i="3"/>
  <c r="GG19" i="3"/>
  <c r="GG21" i="3" s="1"/>
  <c r="GC19" i="3"/>
  <c r="FQ19" i="3"/>
  <c r="FQ21" i="3"/>
  <c r="FM19" i="3"/>
  <c r="FA19" i="3"/>
  <c r="FA21" i="3"/>
  <c r="EW19" i="3"/>
  <c r="EW24" i="3" s="1"/>
  <c r="EK19" i="3"/>
  <c r="EK21" i="3" s="1"/>
  <c r="EG19" i="3"/>
  <c r="EG24" i="3"/>
  <c r="DU19" i="3"/>
  <c r="DU21" i="3"/>
  <c r="DQ19" i="3"/>
  <c r="DE19" i="3"/>
  <c r="DE21" i="3" s="1"/>
  <c r="DA19" i="3"/>
  <c r="CO19" i="3"/>
  <c r="CO21" i="3" s="1"/>
  <c r="CK19" i="3"/>
  <c r="BY19" i="3"/>
  <c r="BY21" i="3" s="1"/>
  <c r="BU19" i="3"/>
  <c r="BI19" i="3"/>
  <c r="BI21" i="3"/>
  <c r="BE19" i="3"/>
  <c r="BE24" i="3" s="1"/>
  <c r="AS19" i="3"/>
  <c r="AS21" i="3" s="1"/>
  <c r="AO19" i="3"/>
  <c r="AB19" i="3"/>
  <c r="AB21" i="3"/>
  <c r="FU16" i="3"/>
  <c r="AW16" i="3"/>
  <c r="AX16" i="3" s="1"/>
  <c r="F15" i="3"/>
  <c r="G19" i="4"/>
  <c r="G16" i="4"/>
  <c r="AB12" i="3"/>
  <c r="AB14" i="3"/>
  <c r="GW12" i="3"/>
  <c r="GW14" i="3" s="1"/>
  <c r="GS12" i="3"/>
  <c r="GG12" i="3"/>
  <c r="GG14" i="3" s="1"/>
  <c r="GC12" i="3"/>
  <c r="FQ12" i="3"/>
  <c r="FQ14" i="3" s="1"/>
  <c r="FM12" i="3"/>
  <c r="FA12" i="3"/>
  <c r="FA14" i="3" s="1"/>
  <c r="EW12" i="3"/>
  <c r="EK12" i="3"/>
  <c r="EK14" i="3" s="1"/>
  <c r="EG12" i="3"/>
  <c r="DU12" i="3"/>
  <c r="DU14" i="3" s="1"/>
  <c r="DQ12" i="3"/>
  <c r="DE12" i="3"/>
  <c r="DE14" i="3" s="1"/>
  <c r="DA12" i="3"/>
  <c r="CO12" i="3"/>
  <c r="CO14" i="3"/>
  <c r="CK12" i="3"/>
  <c r="BY12" i="3"/>
  <c r="BY14" i="3" s="1"/>
  <c r="BU12" i="3"/>
  <c r="BI12" i="3"/>
  <c r="BI14" i="3" s="1"/>
  <c r="BE12" i="3"/>
  <c r="AS12" i="3"/>
  <c r="AS14" i="3"/>
  <c r="AO12" i="3"/>
  <c r="GE7" i="3"/>
  <c r="EY7" i="3"/>
  <c r="DS7" i="3"/>
  <c r="CM7" i="3"/>
  <c r="BG7" i="3"/>
  <c r="F57" i="4"/>
  <c r="AT86" i="2"/>
  <c r="AV84" i="2"/>
  <c r="BF84" i="2"/>
  <c r="BD86" i="2"/>
  <c r="BF86" i="2" s="1"/>
  <c r="AB84" i="2"/>
  <c r="Z86" i="2"/>
  <c r="GS14" i="3"/>
  <c r="GC14" i="3"/>
  <c r="FM14" i="3"/>
  <c r="EW14" i="3"/>
  <c r="EG14" i="3"/>
  <c r="DQ14" i="3"/>
  <c r="DA14" i="3"/>
  <c r="CK14" i="3"/>
  <c r="BU14" i="3"/>
  <c r="BE14" i="3"/>
  <c r="BE18" i="3" s="1"/>
  <c r="AO14" i="3"/>
  <c r="GU12" i="3"/>
  <c r="GE12" i="3"/>
  <c r="DS12" i="3"/>
  <c r="BW12" i="3"/>
  <c r="BG12" i="3"/>
  <c r="E9" i="4"/>
  <c r="H7" i="3"/>
  <c r="H40" i="4"/>
  <c r="F58" i="4"/>
  <c r="M58" i="4"/>
  <c r="M59" i="4"/>
  <c r="L79" i="4"/>
  <c r="M73" i="4"/>
  <c r="M77" i="4"/>
  <c r="M79" i="4"/>
  <c r="H6" i="3"/>
  <c r="O77" i="3" s="1"/>
  <c r="M75" i="4" s="1"/>
  <c r="DM12" i="2"/>
  <c r="DM10" i="2"/>
  <c r="DM23" i="2" s="1"/>
  <c r="CG20" i="2"/>
  <c r="CI20" i="2" s="1"/>
  <c r="BW18" i="2"/>
  <c r="BY18" i="2"/>
  <c r="D106" i="2"/>
  <c r="D84" i="2"/>
  <c r="DC10" i="2"/>
  <c r="DC23" i="2" s="1"/>
  <c r="DC6" i="2"/>
  <c r="DC12" i="2"/>
  <c r="CS6" i="2"/>
  <c r="CS10" i="2"/>
  <c r="BB69" i="2"/>
  <c r="AH69" i="2"/>
  <c r="AT68" i="2"/>
  <c r="AT69" i="2"/>
  <c r="Z68" i="2"/>
  <c r="Z69" i="2"/>
  <c r="E58" i="2"/>
  <c r="F150" i="5" s="1"/>
  <c r="E50" i="2"/>
  <c r="D42" i="2" s="1"/>
  <c r="CI31" i="2"/>
  <c r="CI35" i="2"/>
  <c r="E29" i="2"/>
  <c r="AH17" i="2"/>
  <c r="AK17" i="2"/>
  <c r="F55" i="1"/>
  <c r="F85" i="1"/>
  <c r="E51" i="5"/>
  <c r="F86" i="1"/>
  <c r="E52" i="5" s="1"/>
  <c r="F87" i="1"/>
  <c r="E53" i="5" s="1"/>
  <c r="F88" i="1"/>
  <c r="E54" i="5" s="1"/>
  <c r="F90" i="1"/>
  <c r="E56" i="5" s="1"/>
  <c r="F91" i="1"/>
  <c r="E57" i="5" s="1"/>
  <c r="F92" i="1"/>
  <c r="E58" i="5" s="1"/>
  <c r="F93" i="1"/>
  <c r="E59" i="5" s="1"/>
  <c r="E156" i="1"/>
  <c r="D108" i="5"/>
  <c r="H44" i="1"/>
  <c r="G19" i="1"/>
  <c r="E14" i="5" s="1"/>
  <c r="J44" i="1"/>
  <c r="I44" i="1"/>
  <c r="H23" i="5"/>
  <c r="BE13" i="2"/>
  <c r="BE43" i="2" s="1"/>
  <c r="AZ46" i="2" s="1"/>
  <c r="E170" i="5"/>
  <c r="AO18" i="3"/>
  <c r="CK18" i="3"/>
  <c r="DA18" i="3"/>
  <c r="DQ18" i="3"/>
  <c r="FM18" i="3"/>
  <c r="GC24" i="3"/>
  <c r="CZ16" i="2"/>
  <c r="DC16" i="2"/>
  <c r="DC22" i="2"/>
  <c r="DC37" i="2"/>
  <c r="DC39" i="2" s="1"/>
  <c r="DC42" i="2" s="1"/>
  <c r="DC43" i="2" s="1"/>
  <c r="Z14" i="3"/>
  <c r="BW112" i="3"/>
  <c r="AQ19" i="3"/>
  <c r="BG19" i="3"/>
  <c r="BW19" i="3"/>
  <c r="DS19" i="3"/>
  <c r="FO19" i="3"/>
  <c r="GE19" i="3"/>
  <c r="GU19" i="3"/>
  <c r="BG117" i="3"/>
  <c r="DC117" i="3"/>
  <c r="DS117" i="3"/>
  <c r="EI117" i="3"/>
  <c r="DA25" i="3"/>
  <c r="DA27" i="3" s="1"/>
  <c r="DI65" i="3" s="1"/>
  <c r="DC44" i="2"/>
  <c r="DI68" i="3"/>
  <c r="FU68" i="3"/>
  <c r="HA68" i="3"/>
  <c r="FE166" i="3"/>
  <c r="DY166" i="3"/>
  <c r="H55" i="1"/>
  <c r="M78" i="3"/>
  <c r="DY167" i="3" s="1"/>
  <c r="D117" i="5"/>
  <c r="AS6" i="3"/>
  <c r="AA87" i="3"/>
  <c r="AR14" i="6"/>
  <c r="AG71" i="3"/>
  <c r="BK55" i="3"/>
  <c r="GI55" i="3"/>
  <c r="EM153" i="3"/>
  <c r="CA153" i="3"/>
  <c r="GY56" i="3"/>
  <c r="AS7" i="3"/>
  <c r="AS5" i="3"/>
  <c r="AR15" i="6"/>
  <c r="BI5" i="3"/>
  <c r="AR85" i="3"/>
  <c r="BP152" i="3" l="1"/>
  <c r="BK152" i="3" s="1"/>
  <c r="CA56" i="3"/>
  <c r="BP54" i="3"/>
  <c r="BK54" i="3" s="1"/>
  <c r="DG154" i="3"/>
  <c r="CF54" i="3"/>
  <c r="CA152" i="3"/>
  <c r="AZ54" i="3"/>
  <c r="AU54" i="3" s="1"/>
  <c r="AZ152" i="3"/>
  <c r="AU152" i="3" s="1"/>
  <c r="N76" i="4"/>
  <c r="AI54" i="3"/>
  <c r="AD54" i="3" s="1"/>
  <c r="N60" i="4"/>
  <c r="FC55" i="3"/>
  <c r="AJ152" i="3"/>
  <c r="AE152" i="3" s="1"/>
  <c r="N75" i="4"/>
  <c r="J63" i="3"/>
  <c r="HD54" i="3"/>
  <c r="GY54" i="3" s="1"/>
  <c r="J60" i="4"/>
  <c r="GN54" i="3"/>
  <c r="GI54" i="3" s="1"/>
  <c r="FX54" i="3"/>
  <c r="G58" i="4"/>
  <c r="N69" i="4" s="1"/>
  <c r="I9" i="4"/>
  <c r="J9" i="4" s="1"/>
  <c r="FH54" i="3"/>
  <c r="ER54" i="3"/>
  <c r="EB54" i="3"/>
  <c r="DW54" i="3" s="1"/>
  <c r="FH152" i="3"/>
  <c r="FC152" i="3" s="1"/>
  <c r="N78" i="4"/>
  <c r="CV54" i="3"/>
  <c r="CQ54" i="3" s="1"/>
  <c r="DL54" i="3"/>
  <c r="DG54" i="3" s="1"/>
  <c r="DW153" i="3"/>
  <c r="CV152" i="3"/>
  <c r="N49" i="4"/>
  <c r="H38" i="4"/>
  <c r="N40" i="4" s="1"/>
  <c r="N81" i="3"/>
  <c r="AH170" i="3" s="1"/>
  <c r="G78" i="1"/>
  <c r="F46" i="5" s="1"/>
  <c r="CP187" i="3"/>
  <c r="BZ187" i="3"/>
  <c r="DV89" i="3"/>
  <c r="BJ89" i="3"/>
  <c r="DF187" i="3"/>
  <c r="J90" i="3"/>
  <c r="E7" i="4"/>
  <c r="O75" i="3"/>
  <c r="CE164" i="3" s="1"/>
  <c r="O31" i="3"/>
  <c r="O65" i="3"/>
  <c r="CE154" i="3" s="1"/>
  <c r="I8" i="4"/>
  <c r="J8" i="4" s="1"/>
  <c r="O64" i="3"/>
  <c r="I61" i="4" s="1"/>
  <c r="M78" i="4"/>
  <c r="N65" i="3"/>
  <c r="F65" i="3" s="1"/>
  <c r="CF170" i="3"/>
  <c r="H5" i="3"/>
  <c r="N21" i="3" s="1"/>
  <c r="CD72" i="3"/>
  <c r="CU72" i="3"/>
  <c r="FV72" i="3"/>
  <c r="AX72" i="3"/>
  <c r="DK72" i="3"/>
  <c r="HB72" i="3"/>
  <c r="FG72" i="3"/>
  <c r="AX170" i="3"/>
  <c r="EA72" i="3"/>
  <c r="HD72" i="3"/>
  <c r="BO170" i="3"/>
  <c r="DJ72" i="3"/>
  <c r="CF72" i="3"/>
  <c r="EP72" i="3"/>
  <c r="ER72" i="3"/>
  <c r="ER170" i="3"/>
  <c r="N64" i="3"/>
  <c r="DZ153" i="3" s="1"/>
  <c r="FF72" i="3"/>
  <c r="EA170" i="3"/>
  <c r="BJ187" i="3"/>
  <c r="AT187" i="3"/>
  <c r="FB187" i="3"/>
  <c r="AD187" i="3"/>
  <c r="EL187" i="3"/>
  <c r="AT85" i="3"/>
  <c r="BZ85" i="3" s="1"/>
  <c r="DV187" i="3"/>
  <c r="CS114" i="3"/>
  <c r="BF87" i="2"/>
  <c r="BD89" i="2"/>
  <c r="BF89" i="2"/>
  <c r="BD36" i="2"/>
  <c r="AU43" i="2"/>
  <c r="AU17" i="2"/>
  <c r="Q10" i="2"/>
  <c r="Q12" i="2" s="1"/>
  <c r="Q17" i="2" s="1"/>
  <c r="Q19" i="2" s="1"/>
  <c r="Q20" i="2" s="1"/>
  <c r="CH35" i="2"/>
  <c r="DM16" i="2"/>
  <c r="DM18" i="2" s="1"/>
  <c r="M20" i="3" s="1"/>
  <c r="DC18" i="2"/>
  <c r="DC19" i="2" s="1"/>
  <c r="CS17" i="2"/>
  <c r="FE16" i="3"/>
  <c r="DI114" i="3"/>
  <c r="AF16" i="3"/>
  <c r="AG16" i="3" s="1"/>
  <c r="CC114" i="3"/>
  <c r="CC16" i="3"/>
  <c r="HA16" i="3"/>
  <c r="BM114" i="3"/>
  <c r="GK16" i="3"/>
  <c r="CS16" i="3"/>
  <c r="AW114" i="3"/>
  <c r="BM16" i="3"/>
  <c r="BN16" i="3" s="1"/>
  <c r="DI16" i="3"/>
  <c r="FE114" i="3"/>
  <c r="AG114" i="3"/>
  <c r="DY16" i="3"/>
  <c r="EO114" i="3"/>
  <c r="EO16" i="3"/>
  <c r="BD68" i="2"/>
  <c r="BE72" i="2"/>
  <c r="P17" i="2"/>
  <c r="Q18" i="2"/>
  <c r="AI153" i="3"/>
  <c r="CE153" i="3"/>
  <c r="GN56" i="3"/>
  <c r="GI56" i="3" s="1"/>
  <c r="CV56" i="3"/>
  <c r="N62" i="4"/>
  <c r="CF154" i="3"/>
  <c r="CA154" i="3" s="1"/>
  <c r="BP56" i="3"/>
  <c r="BK56" i="3" s="1"/>
  <c r="J62" i="4"/>
  <c r="ER56" i="3"/>
  <c r="ER154" i="3"/>
  <c r="EM154" i="3" s="1"/>
  <c r="AZ154" i="3"/>
  <c r="AU154" i="3" s="1"/>
  <c r="DL56" i="3"/>
  <c r="EB154" i="3"/>
  <c r="DW154" i="3" s="1"/>
  <c r="AJ154" i="3"/>
  <c r="ER152" i="3"/>
  <c r="EM152" i="3" s="1"/>
  <c r="EB152" i="3"/>
  <c r="DW152" i="3" s="1"/>
  <c r="DL152" i="3"/>
  <c r="DG152" i="3" s="1"/>
  <c r="EO169" i="3"/>
  <c r="CS169" i="3"/>
  <c r="CC169" i="3"/>
  <c r="BM169" i="3"/>
  <c r="CC69" i="3"/>
  <c r="CA54" i="3"/>
  <c r="CQ152" i="3"/>
  <c r="E34" i="2"/>
  <c r="AB35" i="2"/>
  <c r="O80" i="3"/>
  <c r="G48" i="1"/>
  <c r="I50" i="1" s="1"/>
  <c r="O63" i="3"/>
  <c r="HC54" i="3" s="1"/>
  <c r="O32" i="3"/>
  <c r="O73" i="3"/>
  <c r="EG18" i="3"/>
  <c r="EG25" i="3" s="1"/>
  <c r="EG27" i="3" s="1"/>
  <c r="EO65" i="3" s="1"/>
  <c r="HC56" i="3"/>
  <c r="EA154" i="3"/>
  <c r="H65" i="3"/>
  <c r="BO154" i="3"/>
  <c r="K75" i="4"/>
  <c r="CS68" i="3"/>
  <c r="BM68" i="3"/>
  <c r="AW68" i="3"/>
  <c r="AZ68" i="3" s="1"/>
  <c r="CS166" i="3"/>
  <c r="AG166" i="3"/>
  <c r="AF68" i="3"/>
  <c r="CC68" i="3"/>
  <c r="BM166" i="3"/>
  <c r="AW166" i="3"/>
  <c r="CC166" i="3"/>
  <c r="EO68" i="3"/>
  <c r="DI166" i="3"/>
  <c r="GK68" i="3"/>
  <c r="EO166" i="3"/>
  <c r="E11" i="4"/>
  <c r="G7" i="4"/>
  <c r="BU14" i="2"/>
  <c r="E208" i="5"/>
  <c r="AV5" i="3"/>
  <c r="E71" i="2"/>
  <c r="D63" i="2" s="1"/>
  <c r="E186" i="5"/>
  <c r="AV32" i="2"/>
  <c r="AT35" i="2" s="1"/>
  <c r="E197" i="5"/>
  <c r="BO10" i="2"/>
  <c r="BO12" i="2" s="1"/>
  <c r="M69" i="4"/>
  <c r="BE23" i="2"/>
  <c r="AZ15" i="2"/>
  <c r="BE18" i="2"/>
  <c r="BD29" i="2"/>
  <c r="BF29" i="2" s="1"/>
  <c r="CQ55" i="3"/>
  <c r="CQ56" i="3"/>
  <c r="BW14" i="3"/>
  <c r="DS14" i="3"/>
  <c r="EY14" i="3"/>
  <c r="CM112" i="3"/>
  <c r="EI112" i="3"/>
  <c r="DG56" i="3"/>
  <c r="DQ24" i="3"/>
  <c r="FO12" i="3"/>
  <c r="AQ12" i="3"/>
  <c r="EY12" i="3"/>
  <c r="EI12" i="3"/>
  <c r="DC12" i="3"/>
  <c r="CM12" i="3"/>
  <c r="K66" i="4"/>
  <c r="M68" i="4" s="1"/>
  <c r="EQ170" i="3"/>
  <c r="CV170" i="3"/>
  <c r="BN170" i="3"/>
  <c r="CF164" i="3"/>
  <c r="EP170" i="3"/>
  <c r="CU170" i="3"/>
  <c r="AZ170" i="3"/>
  <c r="BP164" i="3"/>
  <c r="CQ154" i="3"/>
  <c r="CQ153" i="3"/>
  <c r="EI119" i="3"/>
  <c r="DQ110" i="3"/>
  <c r="DQ116" i="3" s="1"/>
  <c r="DQ123" i="3" s="1"/>
  <c r="DQ125" i="3" s="1"/>
  <c r="DY163" i="3" s="1"/>
  <c r="E37" i="2"/>
  <c r="F165" i="5" s="1"/>
  <c r="AR17" i="2"/>
  <c r="EW18" i="3"/>
  <c r="EW25" i="3" s="1"/>
  <c r="EW27" i="3" s="1"/>
  <c r="FE65" i="3" s="1"/>
  <c r="N67" i="4"/>
  <c r="D47" i="2"/>
  <c r="BE25" i="3"/>
  <c r="BE27" i="3" s="1"/>
  <c r="BM65" i="3" s="1"/>
  <c r="GC18" i="3"/>
  <c r="GC25" i="3" s="1"/>
  <c r="GC27" i="3" s="1"/>
  <c r="GK65" i="3" s="1"/>
  <c r="FM24" i="3"/>
  <c r="FM25" i="3" s="1"/>
  <c r="FM27" i="3" s="1"/>
  <c r="FU65" i="3" s="1"/>
  <c r="EQ72" i="3"/>
  <c r="FX66" i="3"/>
  <c r="AG72" i="3"/>
  <c r="CV72" i="3"/>
  <c r="FH72" i="3"/>
  <c r="EB170" i="3"/>
  <c r="CT170" i="3"/>
  <c r="AY170" i="3"/>
  <c r="AZ164" i="3"/>
  <c r="CM119" i="3"/>
  <c r="AQ119" i="3"/>
  <c r="BE110" i="3"/>
  <c r="BE116" i="3" s="1"/>
  <c r="BE123" i="3" s="1"/>
  <c r="BE125" i="3" s="1"/>
  <c r="BM163" i="3" s="1"/>
  <c r="AY72" i="3"/>
  <c r="M70" i="3"/>
  <c r="F9" i="3"/>
  <c r="H74" i="3" s="1"/>
  <c r="AA64" i="2"/>
  <c r="AA72" i="2" s="1"/>
  <c r="DA116" i="3"/>
  <c r="DA123" i="3" s="1"/>
  <c r="AU21" i="2"/>
  <c r="DC45" i="2"/>
  <c r="FW72" i="3"/>
  <c r="AZ72" i="3"/>
  <c r="DL72" i="3"/>
  <c r="FX72" i="3"/>
  <c r="FH170" i="3"/>
  <c r="DZ170" i="3"/>
  <c r="CE170" i="3"/>
  <c r="AJ170" i="3"/>
  <c r="AE154" i="3"/>
  <c r="AE153" i="3"/>
  <c r="DS119" i="3"/>
  <c r="BW119" i="3"/>
  <c r="AO110" i="3"/>
  <c r="AO116" i="3" s="1"/>
  <c r="AO123" i="3" s="1"/>
  <c r="AO125" i="3" s="1"/>
  <c r="AW163" i="3" s="1"/>
  <c r="FO7" i="3"/>
  <c r="N59" i="4"/>
  <c r="AJ36" i="2"/>
  <c r="DQ25" i="3"/>
  <c r="DQ27" i="3" s="1"/>
  <c r="DY65" i="3" s="1"/>
  <c r="AO24" i="3"/>
  <c r="AV6" i="3" s="1"/>
  <c r="BU24" i="3"/>
  <c r="BP66" i="3"/>
  <c r="BO72" i="3"/>
  <c r="GM72" i="3"/>
  <c r="BN72" i="3"/>
  <c r="DZ72" i="3"/>
  <c r="GL72" i="3"/>
  <c r="FG170" i="3"/>
  <c r="DL170" i="3"/>
  <c r="CD170" i="3"/>
  <c r="AI170" i="3"/>
  <c r="EB164" i="3"/>
  <c r="AO122" i="3"/>
  <c r="EW110" i="3"/>
  <c r="EW116" i="3" s="1"/>
  <c r="EW123" i="3" s="1"/>
  <c r="CK110" i="3"/>
  <c r="CK116" i="3" s="1"/>
  <c r="CK123" i="3" s="1"/>
  <c r="FS56" i="3"/>
  <c r="EI7" i="3"/>
  <c r="EM56" i="3" s="1"/>
  <c r="N77" i="4"/>
  <c r="N68" i="4"/>
  <c r="BY11" i="2"/>
  <c r="BY12" i="2" s="1"/>
  <c r="BE95" i="2"/>
  <c r="AR18" i="2"/>
  <c r="BY10" i="2"/>
  <c r="CV66" i="3"/>
  <c r="CE72" i="3"/>
  <c r="HC72" i="3"/>
  <c r="DG55" i="3"/>
  <c r="AZ66" i="3"/>
  <c r="AU66" i="3" s="1"/>
  <c r="BP72" i="3"/>
  <c r="EB72" i="3"/>
  <c r="GN72" i="3"/>
  <c r="FF170" i="3"/>
  <c r="DK170" i="3"/>
  <c r="BP170" i="3"/>
  <c r="FC154" i="3"/>
  <c r="FC153" i="3"/>
  <c r="Y110" i="3"/>
  <c r="Y116" i="3" s="1"/>
  <c r="Y123" i="3" s="1"/>
  <c r="D23" i="3"/>
  <c r="K53" i="4"/>
  <c r="F77" i="5"/>
  <c r="K52" i="4"/>
  <c r="K51" i="4"/>
  <c r="K49" i="4"/>
  <c r="H33" i="5"/>
  <c r="J96" i="3"/>
  <c r="I48" i="1"/>
  <c r="E161" i="5"/>
  <c r="D1" i="5"/>
  <c r="BL5" i="3"/>
  <c r="AR16" i="6"/>
  <c r="BF85" i="3"/>
  <c r="BH85" i="3"/>
  <c r="BY5" i="3"/>
  <c r="BN68" i="3"/>
  <c r="BN71" i="3"/>
  <c r="AY71" i="3"/>
  <c r="AQ6" i="3"/>
  <c r="BI6" i="3"/>
  <c r="DI69" i="3"/>
  <c r="AR87" i="3"/>
  <c r="AF69" i="3"/>
  <c r="P40" i="3"/>
  <c r="P77" i="3"/>
  <c r="P51" i="3"/>
  <c r="P78" i="3"/>
  <c r="P39" i="3"/>
  <c r="P79" i="3"/>
  <c r="P74" i="3"/>
  <c r="P80" i="3"/>
  <c r="P59" i="3"/>
  <c r="P82" i="3"/>
  <c r="P71" i="3"/>
  <c r="P86" i="3"/>
  <c r="G49" i="1"/>
  <c r="P60" i="3"/>
  <c r="J75" i="3"/>
  <c r="P61" i="3"/>
  <c r="BM69" i="3"/>
  <c r="AR89" i="3"/>
  <c r="AU89" i="3" s="1"/>
  <c r="AZ77" i="3"/>
  <c r="AZ78" i="3" s="1"/>
  <c r="AZ71" i="3"/>
  <c r="BI7" i="3"/>
  <c r="EO167" i="3"/>
  <c r="BO164" i="3"/>
  <c r="AG167" i="3"/>
  <c r="FE167" i="3"/>
  <c r="AW69" i="3"/>
  <c r="AZ69" i="3" s="1"/>
  <c r="AW167" i="3"/>
  <c r="O78" i="3"/>
  <c r="M76" i="4" s="1"/>
  <c r="M80" i="4" s="1"/>
  <c r="BM167" i="3"/>
  <c r="GK69" i="3"/>
  <c r="K76" i="4"/>
  <c r="CC167" i="3"/>
  <c r="FE69" i="3"/>
  <c r="HA69" i="3"/>
  <c r="CS167" i="3"/>
  <c r="DY69" i="3"/>
  <c r="FU69" i="3"/>
  <c r="DI167" i="3"/>
  <c r="CS69" i="3"/>
  <c r="EO69" i="3"/>
  <c r="AX71" i="3"/>
  <c r="BU18" i="3"/>
  <c r="BU25" i="3" s="1"/>
  <c r="BU27" i="3" s="1"/>
  <c r="CC65" i="3" s="1"/>
  <c r="AT89" i="2"/>
  <c r="AV86" i="2"/>
  <c r="CM14" i="3"/>
  <c r="AA112" i="3"/>
  <c r="EY112" i="3"/>
  <c r="DC14" i="3"/>
  <c r="AQ112" i="3"/>
  <c r="AQ14" i="3"/>
  <c r="FO14" i="3"/>
  <c r="DC112" i="3"/>
  <c r="BG14" i="3"/>
  <c r="GE14" i="3"/>
  <c r="DS112" i="3"/>
  <c r="EI14" i="3"/>
  <c r="GU14" i="3"/>
  <c r="BG112" i="3"/>
  <c r="GS18" i="3"/>
  <c r="GS25" i="3" s="1"/>
  <c r="GS27" i="3" s="1"/>
  <c r="HA65" i="3" s="1"/>
  <c r="DW55" i="3"/>
  <c r="DW56" i="3"/>
  <c r="CS12" i="2"/>
  <c r="CS23" i="2"/>
  <c r="EI19" i="3"/>
  <c r="BW117" i="3"/>
  <c r="Z19" i="3"/>
  <c r="EY19" i="3"/>
  <c r="CM117" i="3"/>
  <c r="CM19" i="3"/>
  <c r="AA117" i="3"/>
  <c r="EY117" i="3"/>
  <c r="DC19" i="3"/>
  <c r="AQ117" i="3"/>
  <c r="DC21" i="2"/>
  <c r="DB28" i="2" s="1"/>
  <c r="D26" i="2"/>
  <c r="AA65" i="2" s="1"/>
  <c r="D21" i="2"/>
  <c r="DM22" i="2"/>
  <c r="FC54" i="3"/>
  <c r="FC56" i="3"/>
  <c r="CK24" i="3"/>
  <c r="CK25" i="3" s="1"/>
  <c r="CK27" i="3" s="1"/>
  <c r="CS65" i="3" s="1"/>
  <c r="AE6" i="3"/>
  <c r="Z6" i="3"/>
  <c r="DJ16" i="2"/>
  <c r="H34" i="3"/>
  <c r="G23" i="5"/>
  <c r="AK13" i="2"/>
  <c r="E140" i="5"/>
  <c r="AB86" i="2"/>
  <c r="AB89" i="2" s="1"/>
  <c r="Z89" i="2"/>
  <c r="D79" i="2"/>
  <c r="E193" i="5" s="1"/>
  <c r="AH68" i="2"/>
  <c r="AK72" i="2"/>
  <c r="AK95" i="2"/>
  <c r="AR33" i="2"/>
  <c r="AT33" i="2" s="1"/>
  <c r="E74" i="2"/>
  <c r="F189" i="5" s="1"/>
  <c r="E79" i="2"/>
  <c r="F193" i="5" s="1"/>
  <c r="E189" i="5"/>
  <c r="AL36" i="2"/>
  <c r="E55" i="2"/>
  <c r="D239" i="5"/>
  <c r="CI12" i="2"/>
  <c r="CI13" i="2" s="1"/>
  <c r="E225" i="5"/>
  <c r="BL18" i="2"/>
  <c r="BO18" i="2"/>
  <c r="BL42" i="2"/>
  <c r="BO42" i="2" s="1"/>
  <c r="EA162" i="3"/>
  <c r="BY14" i="2"/>
  <c r="BU15" i="2"/>
  <c r="BY15" i="2" s="1"/>
  <c r="AO26" i="3"/>
  <c r="AV7" i="3" s="1"/>
  <c r="AW7" i="3" s="1"/>
  <c r="EB76" i="3"/>
  <c r="BU124" i="3"/>
  <c r="M69" i="3"/>
  <c r="AI76" i="3"/>
  <c r="AI77" i="3" s="1"/>
  <c r="AI78" i="3" s="1"/>
  <c r="ER76" i="3"/>
  <c r="CK124" i="3"/>
  <c r="CK125" i="3" s="1"/>
  <c r="CS163" i="3" s="1"/>
  <c r="FH76" i="3"/>
  <c r="DA124" i="3"/>
  <c r="DA125" i="3" s="1"/>
  <c r="DI163" i="3" s="1"/>
  <c r="BP76" i="3"/>
  <c r="BP77" i="3" s="1"/>
  <c r="BP78" i="3" s="1"/>
  <c r="GN76" i="3"/>
  <c r="EG124" i="3"/>
  <c r="CF76" i="3"/>
  <c r="HD76" i="3"/>
  <c r="Y124" i="3"/>
  <c r="Y125" i="3" s="1"/>
  <c r="AG163" i="3" s="1"/>
  <c r="EW124" i="3"/>
  <c r="CV76" i="3"/>
  <c r="AO124" i="3"/>
  <c r="EM55" i="3"/>
  <c r="E32" i="2"/>
  <c r="F160" i="5" s="1"/>
  <c r="X33" i="2"/>
  <c r="Z33" i="2" s="1"/>
  <c r="D37" i="2"/>
  <c r="E165" i="5" s="1"/>
  <c r="DN31" i="2"/>
  <c r="DN32" i="2"/>
  <c r="DL35" i="2"/>
  <c r="DL36" i="2"/>
  <c r="DN36" i="2" s="1"/>
  <c r="DN29" i="2"/>
  <c r="DB17" i="2"/>
  <c r="DC20" i="2"/>
  <c r="DB16" i="2"/>
  <c r="Z18" i="2"/>
  <c r="Z17" i="2"/>
  <c r="Z12" i="3"/>
  <c r="DS110" i="3"/>
  <c r="AQ110" i="3"/>
  <c r="CM110" i="3"/>
  <c r="BG110" i="3"/>
  <c r="DC110" i="3"/>
  <c r="AA110" i="3"/>
  <c r="EY110" i="3"/>
  <c r="AA85" i="3"/>
  <c r="BB33" i="2"/>
  <c r="BD33" i="2" s="1"/>
  <c r="D100" i="2"/>
  <c r="E180" i="5" s="1"/>
  <c r="AJ89" i="2"/>
  <c r="AL86" i="2"/>
  <c r="AL89" i="2" s="1"/>
  <c r="AI66" i="3"/>
  <c r="AD66" i="3" s="1"/>
  <c r="ER164" i="3"/>
  <c r="AJ164" i="3"/>
  <c r="FH164" i="3"/>
  <c r="CC159" i="3"/>
  <c r="DY159" i="3"/>
  <c r="EO159" i="3"/>
  <c r="BM159" i="3"/>
  <c r="X18" i="3"/>
  <c r="CA55" i="3"/>
  <c r="AV87" i="2"/>
  <c r="X69" i="2"/>
  <c r="X99" i="2"/>
  <c r="AA99" i="2" s="1"/>
  <c r="AR68" i="2"/>
  <c r="AU95" i="2"/>
  <c r="AH48" i="2"/>
  <c r="AK48" i="2" s="1"/>
  <c r="AH18" i="2"/>
  <c r="BB17" i="2"/>
  <c r="BE17" i="2"/>
  <c r="BE19" i="2" s="1"/>
  <c r="BE20" i="2" s="1"/>
  <c r="BE44" i="2"/>
  <c r="BE46" i="2" s="1"/>
  <c r="EI110" i="3"/>
  <c r="E100" i="2"/>
  <c r="F180" i="5" s="1"/>
  <c r="AH34" i="2"/>
  <c r="AJ33" i="2" s="1"/>
  <c r="D58" i="2"/>
  <c r="E150" i="5" s="1"/>
  <c r="BE21" i="2"/>
  <c r="BZ89" i="3"/>
  <c r="GX89" i="3"/>
  <c r="AC89" i="3"/>
  <c r="AD89" i="3" s="1"/>
  <c r="CP89" i="3"/>
  <c r="DF89" i="3"/>
  <c r="EL89" i="3"/>
  <c r="FB89" i="3"/>
  <c r="FR89" i="3"/>
  <c r="E16" i="4"/>
  <c r="C24" i="4"/>
  <c r="AK21" i="2"/>
  <c r="EG122" i="3"/>
  <c r="EG123" i="3" s="1"/>
  <c r="EG125" i="3" s="1"/>
  <c r="EO163" i="3" s="1"/>
  <c r="BU122" i="3"/>
  <c r="BU123" i="3" s="1"/>
  <c r="BU125" i="3" s="1"/>
  <c r="CC163" i="3" s="1"/>
  <c r="BN153" i="3"/>
  <c r="AH153" i="3"/>
  <c r="EP153" i="3"/>
  <c r="CD153" i="3"/>
  <c r="AX153" i="3"/>
  <c r="FF153" i="3"/>
  <c r="X68" i="2"/>
  <c r="AA95" i="2"/>
  <c r="L15" i="2"/>
  <c r="Q28" i="2"/>
  <c r="L31" i="2" s="1"/>
  <c r="AA43" i="2"/>
  <c r="X17" i="2"/>
  <c r="AA21" i="2"/>
  <c r="D33" i="3"/>
  <c r="D34" i="3" s="1"/>
  <c r="K54" i="4"/>
  <c r="D139" i="2"/>
  <c r="D89" i="2"/>
  <c r="CS36" i="2"/>
  <c r="CN39" i="2" s="1"/>
  <c r="N20" i="3" l="1"/>
  <c r="EA66" i="3"/>
  <c r="AI164" i="3"/>
  <c r="N80" i="4"/>
  <c r="DK164" i="3"/>
  <c r="CU164" i="3"/>
  <c r="G47" i="1"/>
  <c r="J47" i="1" s="1"/>
  <c r="AY164" i="3"/>
  <c r="H9" i="3"/>
  <c r="H8" i="3" s="1"/>
  <c r="FV56" i="3"/>
  <c r="G61" i="4"/>
  <c r="M81" i="3"/>
  <c r="AF72" i="3" s="1"/>
  <c r="CT72" i="3"/>
  <c r="DJ170" i="3"/>
  <c r="AT183" i="3"/>
  <c r="BZ87" i="3"/>
  <c r="EL85" i="3"/>
  <c r="AT87" i="3"/>
  <c r="GX87" i="3" s="1"/>
  <c r="EL183" i="3"/>
  <c r="AW5" i="3"/>
  <c r="FB85" i="3"/>
  <c r="GM55" i="3"/>
  <c r="FW55" i="3"/>
  <c r="BO153" i="3"/>
  <c r="CU153" i="3"/>
  <c r="EA153" i="3"/>
  <c r="CE55" i="3"/>
  <c r="DK55" i="3"/>
  <c r="AY153" i="3"/>
  <c r="FG153" i="3"/>
  <c r="EP154" i="3"/>
  <c r="DJ55" i="3"/>
  <c r="BN154" i="3"/>
  <c r="FV55" i="3"/>
  <c r="J48" i="1"/>
  <c r="BO55" i="3"/>
  <c r="AH55" i="3"/>
  <c r="AB55" i="3" s="1"/>
  <c r="AY55" i="3"/>
  <c r="AS55" i="3" s="1"/>
  <c r="HC55" i="3"/>
  <c r="CU55" i="3"/>
  <c r="EQ55" i="3"/>
  <c r="M61" i="4"/>
  <c r="FG55" i="3"/>
  <c r="EQ153" i="3"/>
  <c r="FF154" i="3"/>
  <c r="AX154" i="3"/>
  <c r="G50" i="1"/>
  <c r="G152" i="1" s="1"/>
  <c r="CD154" i="3"/>
  <c r="CT154" i="3"/>
  <c r="AH154" i="3"/>
  <c r="N78" i="3"/>
  <c r="N63" i="3"/>
  <c r="DJ54" i="3" s="1"/>
  <c r="N80" i="3"/>
  <c r="N17" i="3"/>
  <c r="L22" i="4" s="1"/>
  <c r="BG5" i="3"/>
  <c r="N73" i="3"/>
  <c r="Z5" i="3"/>
  <c r="Z65" i="3" s="1"/>
  <c r="GM66" i="3"/>
  <c r="HC66" i="3"/>
  <c r="FW66" i="3"/>
  <c r="CU154" i="3"/>
  <c r="M62" i="4"/>
  <c r="BO66" i="3"/>
  <c r="BI66" i="3" s="1"/>
  <c r="CE56" i="3"/>
  <c r="FG152" i="3"/>
  <c r="DK66" i="3"/>
  <c r="DK154" i="3"/>
  <c r="AY154" i="3"/>
  <c r="AI154" i="3"/>
  <c r="CE66" i="3"/>
  <c r="EQ164" i="3"/>
  <c r="H75" i="3"/>
  <c r="EA152" i="3"/>
  <c r="EA164" i="3"/>
  <c r="FG66" i="3"/>
  <c r="CU56" i="3"/>
  <c r="DK56" i="3"/>
  <c r="AY56" i="3"/>
  <c r="AS56" i="3" s="1"/>
  <c r="BO56" i="3"/>
  <c r="EA54" i="3"/>
  <c r="AY66" i="3"/>
  <c r="AS66" i="3" s="1"/>
  <c r="EQ66" i="3"/>
  <c r="FG154" i="3"/>
  <c r="EQ154" i="3"/>
  <c r="I62" i="4"/>
  <c r="EA56" i="3"/>
  <c r="FG56" i="3"/>
  <c r="EQ56" i="3"/>
  <c r="GM56" i="3"/>
  <c r="FG164" i="3"/>
  <c r="CU66" i="3"/>
  <c r="AH66" i="3"/>
  <c r="AB66" i="3" s="1"/>
  <c r="FW56" i="3"/>
  <c r="AH56" i="3"/>
  <c r="DK153" i="3"/>
  <c r="EA55" i="3"/>
  <c r="H64" i="3"/>
  <c r="CT153" i="3"/>
  <c r="CD55" i="3"/>
  <c r="FF55" i="3"/>
  <c r="DJ153" i="3"/>
  <c r="F64" i="3"/>
  <c r="AX55" i="3"/>
  <c r="DZ55" i="3"/>
  <c r="N22" i="3"/>
  <c r="N77" i="3"/>
  <c r="N75" i="3"/>
  <c r="BN55" i="3"/>
  <c r="AQ5" i="3"/>
  <c r="EP55" i="3"/>
  <c r="CT55" i="3"/>
  <c r="GL55" i="3"/>
  <c r="L21" i="4"/>
  <c r="L61" i="4"/>
  <c r="DZ154" i="3"/>
  <c r="CD56" i="3"/>
  <c r="CT56" i="3"/>
  <c r="DJ56" i="3"/>
  <c r="GL56" i="3"/>
  <c r="EP56" i="3"/>
  <c r="BN56" i="3"/>
  <c r="DJ154" i="3"/>
  <c r="HB56" i="3"/>
  <c r="L62" i="4"/>
  <c r="DZ56" i="3"/>
  <c r="AG56" i="3"/>
  <c r="G62" i="4"/>
  <c r="AX56" i="3"/>
  <c r="FF56" i="3"/>
  <c r="L76" i="4"/>
  <c r="AG55" i="3"/>
  <c r="HB55" i="3"/>
  <c r="DF85" i="3"/>
  <c r="BZ183" i="3"/>
  <c r="FB183" i="3"/>
  <c r="DV85" i="3"/>
  <c r="BJ85" i="3"/>
  <c r="BM5" i="3" s="1"/>
  <c r="AU85" i="3"/>
  <c r="AC85" i="3"/>
  <c r="AD85" i="3" s="1"/>
  <c r="FR85" i="3"/>
  <c r="CP183" i="3"/>
  <c r="BJ183" i="3"/>
  <c r="GX85" i="3"/>
  <c r="AC87" i="3"/>
  <c r="AD87" i="3" s="1"/>
  <c r="DF183" i="3"/>
  <c r="AD183" i="3"/>
  <c r="BJ87" i="3"/>
  <c r="DV183" i="3"/>
  <c r="GH85" i="3"/>
  <c r="CP85" i="3"/>
  <c r="E97" i="2"/>
  <c r="BF36" i="2"/>
  <c r="N17" i="2"/>
  <c r="Q21" i="2"/>
  <c r="Q22" i="2"/>
  <c r="P28" i="2" s="1"/>
  <c r="Q29" i="2"/>
  <c r="Q31" i="2" s="1"/>
  <c r="Q23" i="2"/>
  <c r="DN44" i="2"/>
  <c r="DN42" i="2"/>
  <c r="DN45" i="2"/>
  <c r="DM19" i="2"/>
  <c r="DM21" i="2" s="1"/>
  <c r="M19" i="3"/>
  <c r="N19" i="3" s="1"/>
  <c r="L18" i="4" s="1"/>
  <c r="M30" i="3"/>
  <c r="O30" i="3" s="1"/>
  <c r="M30" i="4" s="1"/>
  <c r="M29" i="3"/>
  <c r="O29" i="3" s="1"/>
  <c r="M27" i="4" s="1"/>
  <c r="DN43" i="2"/>
  <c r="DN49" i="2" s="1"/>
  <c r="DN55" i="2" s="1"/>
  <c r="BE22" i="2"/>
  <c r="BE24" i="2" s="1"/>
  <c r="H63" i="3"/>
  <c r="DK54" i="3"/>
  <c r="BO152" i="3"/>
  <c r="FG54" i="3"/>
  <c r="M60" i="4"/>
  <c r="AH54" i="3"/>
  <c r="AB54" i="3" s="1"/>
  <c r="BO54" i="3"/>
  <c r="CE152" i="3"/>
  <c r="AY152" i="3"/>
  <c r="AY54" i="3"/>
  <c r="AS54" i="3" s="1"/>
  <c r="CU152" i="3"/>
  <c r="DK152" i="3"/>
  <c r="CU54" i="3"/>
  <c r="AI152" i="3"/>
  <c r="FW54" i="3"/>
  <c r="DI159" i="3"/>
  <c r="GK61" i="3"/>
  <c r="AW61" i="3"/>
  <c r="AF61" i="3"/>
  <c r="CC61" i="3"/>
  <c r="DI61" i="3"/>
  <c r="AG159" i="3"/>
  <c r="BM61" i="3"/>
  <c r="EO61" i="3"/>
  <c r="CS159" i="3"/>
  <c r="CS61" i="3"/>
  <c r="FU61" i="3"/>
  <c r="AW159" i="3"/>
  <c r="FE159" i="3"/>
  <c r="DY61" i="3"/>
  <c r="FE61" i="3"/>
  <c r="HA61" i="3"/>
  <c r="AU13" i="2"/>
  <c r="E184" i="5"/>
  <c r="EM54" i="3"/>
  <c r="AO25" i="3"/>
  <c r="EW125" i="3"/>
  <c r="FE163" i="3" s="1"/>
  <c r="BL17" i="2"/>
  <c r="BO17" i="2"/>
  <c r="BO19" i="2" s="1"/>
  <c r="BO20" i="2" s="1"/>
  <c r="BO21" i="2"/>
  <c r="BO23" i="2"/>
  <c r="BO38" i="2"/>
  <c r="BO40" i="2" s="1"/>
  <c r="BO43" i="2" s="1"/>
  <c r="CE64" i="3"/>
  <c r="GM64" i="3"/>
  <c r="CU162" i="3"/>
  <c r="AY64" i="3"/>
  <c r="FG162" i="3"/>
  <c r="AH64" i="3"/>
  <c r="EQ64" i="3"/>
  <c r="CE162" i="3"/>
  <c r="FG64" i="3"/>
  <c r="EQ162" i="3"/>
  <c r="DK64" i="3"/>
  <c r="CU64" i="3"/>
  <c r="FW64" i="3"/>
  <c r="HC64" i="3"/>
  <c r="AI162" i="3"/>
  <c r="BO64" i="3"/>
  <c r="BO162" i="3"/>
  <c r="EA64" i="3"/>
  <c r="DK162" i="3"/>
  <c r="AY162" i="3"/>
  <c r="AY68" i="3"/>
  <c r="AK65" i="2"/>
  <c r="D133" i="5"/>
  <c r="D68" i="2"/>
  <c r="AU65" i="2" s="1"/>
  <c r="G11" i="4"/>
  <c r="L92" i="4" s="1"/>
  <c r="M94" i="3" s="1"/>
  <c r="G40" i="4"/>
  <c r="E58" i="4"/>
  <c r="E57" i="4"/>
  <c r="L59" i="4"/>
  <c r="L73" i="4"/>
  <c r="L68" i="4"/>
  <c r="L75" i="4"/>
  <c r="L78" i="4"/>
  <c r="L77" i="4"/>
  <c r="L58" i="4"/>
  <c r="GM54" i="3"/>
  <c r="EQ54" i="3"/>
  <c r="EQ152" i="3"/>
  <c r="I60" i="4"/>
  <c r="CE54" i="3"/>
  <c r="AV89" i="2"/>
  <c r="AV35" i="2"/>
  <c r="E76" i="2"/>
  <c r="G71" i="4"/>
  <c r="K79" i="4"/>
  <c r="AX68" i="3"/>
  <c r="FS55" i="3"/>
  <c r="FS54" i="3"/>
  <c r="AG68" i="3"/>
  <c r="AI68" i="3"/>
  <c r="AH68" i="3"/>
  <c r="M49" i="4"/>
  <c r="L49" i="4"/>
  <c r="AI89" i="3"/>
  <c r="CP185" i="3"/>
  <c r="M73" i="3"/>
  <c r="D36" i="3"/>
  <c r="AV33" i="2"/>
  <c r="AV37" i="2" s="1"/>
  <c r="AT37" i="2"/>
  <c r="BO71" i="3"/>
  <c r="BO68" i="3"/>
  <c r="BY6" i="3"/>
  <c r="BL6" i="3"/>
  <c r="BO69" i="3"/>
  <c r="BH87" i="3"/>
  <c r="BG6" i="3"/>
  <c r="BM56" i="3" s="1"/>
  <c r="BF87" i="3"/>
  <c r="BF33" i="2"/>
  <c r="BD35" i="2"/>
  <c r="BF35" i="2" s="1"/>
  <c r="AH69" i="3"/>
  <c r="AI69" i="3"/>
  <c r="AG69" i="3"/>
  <c r="FQ25" i="3"/>
  <c r="AC123" i="3"/>
  <c r="FA123" i="3"/>
  <c r="GW25" i="3"/>
  <c r="AS123" i="3"/>
  <c r="BY25" i="3"/>
  <c r="DU25" i="3"/>
  <c r="DE123" i="3"/>
  <c r="AB25" i="3"/>
  <c r="DU123" i="3"/>
  <c r="CO25" i="3"/>
  <c r="FA25" i="3"/>
  <c r="EK25" i="3"/>
  <c r="BI25" i="3"/>
  <c r="GG25" i="3"/>
  <c r="BI123" i="3"/>
  <c r="BY123" i="3"/>
  <c r="G33" i="4"/>
  <c r="CO123" i="3"/>
  <c r="EK123" i="3"/>
  <c r="AS25" i="3"/>
  <c r="DE25" i="3"/>
  <c r="BN69" i="3"/>
  <c r="DB32" i="2"/>
  <c r="DD28" i="2"/>
  <c r="DB30" i="2"/>
  <c r="DD30" i="2" s="1"/>
  <c r="CE15" i="2"/>
  <c r="CI15" i="2" s="1"/>
  <c r="CI22" i="2" s="1"/>
  <c r="E221" i="5"/>
  <c r="C33" i="4"/>
  <c r="C35" i="4" s="1"/>
  <c r="I7" i="4"/>
  <c r="J7" i="4" s="1"/>
  <c r="J11" i="4" s="1"/>
  <c r="BE49" i="2"/>
  <c r="AB33" i="2"/>
  <c r="AB37" i="2" s="1"/>
  <c r="Z37" i="2"/>
  <c r="K55" i="4"/>
  <c r="M57" i="4" s="1"/>
  <c r="AS8" i="3"/>
  <c r="AY93" i="3" s="1"/>
  <c r="FU72" i="3"/>
  <c r="DI72" i="3"/>
  <c r="AG170" i="3"/>
  <c r="CS72" i="3"/>
  <c r="HA72" i="3"/>
  <c r="EO170" i="3"/>
  <c r="DL65" i="3"/>
  <c r="AZ163" i="3"/>
  <c r="EB65" i="3"/>
  <c r="BP163" i="3"/>
  <c r="BP65" i="3"/>
  <c r="GN65" i="3"/>
  <c r="EB163" i="3"/>
  <c r="CF65" i="3"/>
  <c r="CV163" i="3"/>
  <c r="ER65" i="3"/>
  <c r="ER163" i="3"/>
  <c r="FH65" i="3"/>
  <c r="FH163" i="3"/>
  <c r="CV65" i="3"/>
  <c r="FX65" i="3"/>
  <c r="HD65" i="3"/>
  <c r="AJ163" i="3"/>
  <c r="CF163" i="3"/>
  <c r="DL163" i="3"/>
  <c r="AI65" i="3"/>
  <c r="AZ65" i="3"/>
  <c r="AX69" i="3"/>
  <c r="BH89" i="3"/>
  <c r="BK89" i="3" s="1"/>
  <c r="BP89" i="3" s="1"/>
  <c r="BP69" i="3"/>
  <c r="BK66" i="3"/>
  <c r="BY7" i="3"/>
  <c r="CF77" i="3" s="1"/>
  <c r="CF78" i="3" s="1"/>
  <c r="BP71" i="3"/>
  <c r="BF89" i="3"/>
  <c r="BL7" i="3"/>
  <c r="BM7" i="3" s="1"/>
  <c r="BP68" i="3"/>
  <c r="AZ89" i="3"/>
  <c r="AO27" i="3"/>
  <c r="P87" i="3"/>
  <c r="N84" i="4"/>
  <c r="N85" i="4" s="1"/>
  <c r="AJ29" i="2"/>
  <c r="AL29" i="2" s="1"/>
  <c r="AK18" i="2"/>
  <c r="AK19" i="2" s="1"/>
  <c r="AK20" i="2" s="1"/>
  <c r="AK22" i="2" s="1"/>
  <c r="AK43" i="2"/>
  <c r="AF15" i="2"/>
  <c r="AK23" i="2"/>
  <c r="DN37" i="2"/>
  <c r="CS158" i="3"/>
  <c r="DI158" i="3"/>
  <c r="AF60" i="3"/>
  <c r="DY158" i="3"/>
  <c r="AG158" i="3"/>
  <c r="FE158" i="3"/>
  <c r="AW158" i="3"/>
  <c r="CC60" i="3"/>
  <c r="AW60" i="3"/>
  <c r="GK60" i="3"/>
  <c r="FE60" i="3"/>
  <c r="BM158" i="3"/>
  <c r="DY60" i="3"/>
  <c r="CC158" i="3"/>
  <c r="HA60" i="3"/>
  <c r="CS60" i="3"/>
  <c r="EO158" i="3"/>
  <c r="FU60" i="3"/>
  <c r="BM60" i="3"/>
  <c r="DI60" i="3"/>
  <c r="EO60" i="3"/>
  <c r="BY20" i="2"/>
  <c r="CS20" i="2"/>
  <c r="CS37" i="2"/>
  <c r="CS39" i="2" s="1"/>
  <c r="CS16" i="2"/>
  <c r="CS18" i="2" s="1"/>
  <c r="CS22" i="2"/>
  <c r="CS19" i="2"/>
  <c r="CS21" i="2" s="1"/>
  <c r="CR28" i="2" s="1"/>
  <c r="CP16" i="2"/>
  <c r="CD16" i="3"/>
  <c r="BW5" i="3"/>
  <c r="AR17" i="6"/>
  <c r="BX85" i="3"/>
  <c r="CA85" i="3" s="1"/>
  <c r="CB5" i="3"/>
  <c r="CC5" i="3" s="1"/>
  <c r="CD68" i="3"/>
  <c r="CD69" i="3"/>
  <c r="CD71" i="3"/>
  <c r="BY8" i="3"/>
  <c r="CE93" i="3" s="1"/>
  <c r="CO5" i="3"/>
  <c r="AB56" i="3"/>
  <c r="AE5" i="3"/>
  <c r="AB8" i="3"/>
  <c r="AH93" i="3" s="1"/>
  <c r="X25" i="3"/>
  <c r="X27" i="3" s="1"/>
  <c r="AA13" i="2"/>
  <c r="E155" i="5"/>
  <c r="AQ8" i="3"/>
  <c r="AS65" i="3" s="1"/>
  <c r="AY69" i="3"/>
  <c r="DN38" i="2"/>
  <c r="BE65" i="2"/>
  <c r="H133" i="5"/>
  <c r="AL33" i="2"/>
  <c r="AJ35" i="2"/>
  <c r="AL35" i="2" s="1"/>
  <c r="DN35" i="2"/>
  <c r="Z80" i="2"/>
  <c r="AB80" i="2" s="1"/>
  <c r="V66" i="2"/>
  <c r="AA94" i="2"/>
  <c r="V97" i="2" s="1"/>
  <c r="AA68" i="2"/>
  <c r="AA69" i="2"/>
  <c r="AA74" i="2"/>
  <c r="AF7" i="3"/>
  <c r="BI8" i="3"/>
  <c r="BO93" i="3" s="1"/>
  <c r="CC72" i="3" l="1"/>
  <c r="FE170" i="3"/>
  <c r="BM72" i="3"/>
  <c r="AW170" i="3"/>
  <c r="FE72" i="3"/>
  <c r="AW72" i="3"/>
  <c r="EO72" i="3"/>
  <c r="DY170" i="3"/>
  <c r="DY72" i="3"/>
  <c r="CC170" i="3"/>
  <c r="GK72" i="3"/>
  <c r="CS170" i="3"/>
  <c r="DI170" i="3"/>
  <c r="BM170" i="3"/>
  <c r="DF87" i="3"/>
  <c r="EL87" i="3"/>
  <c r="EL185" i="3"/>
  <c r="FR87" i="3"/>
  <c r="BJ185" i="3"/>
  <c r="DV87" i="3"/>
  <c r="AU87" i="3"/>
  <c r="AD185" i="3"/>
  <c r="AW6" i="3"/>
  <c r="AW8" i="3" s="1"/>
  <c r="AV95" i="3" s="1"/>
  <c r="DF185" i="3"/>
  <c r="AF5" i="3"/>
  <c r="DV185" i="3"/>
  <c r="CP87" i="3"/>
  <c r="FB87" i="3"/>
  <c r="AT185" i="3"/>
  <c r="FB185" i="3"/>
  <c r="BZ185" i="3"/>
  <c r="GH87" i="3"/>
  <c r="BM6" i="3"/>
  <c r="BM8" i="3" s="1"/>
  <c r="BL95" i="3" s="1"/>
  <c r="BK85" i="3"/>
  <c r="AF6" i="3"/>
  <c r="BM55" i="3"/>
  <c r="H152" i="1"/>
  <c r="BG55" i="3"/>
  <c r="BM54" i="3"/>
  <c r="BG65" i="3"/>
  <c r="BG8" i="3"/>
  <c r="BI65" i="3" s="1"/>
  <c r="BG56" i="3"/>
  <c r="Z8" i="3"/>
  <c r="AB65" i="3" s="1"/>
  <c r="M67" i="4"/>
  <c r="CD54" i="3"/>
  <c r="BW54" i="3" s="1"/>
  <c r="DZ54" i="3"/>
  <c r="FV54" i="3"/>
  <c r="CT54" i="3"/>
  <c r="FF152" i="3"/>
  <c r="DJ152" i="3"/>
  <c r="CT152" i="3"/>
  <c r="AX152" i="3"/>
  <c r="AX54" i="3"/>
  <c r="AQ54" i="3" s="1"/>
  <c r="BN54" i="3"/>
  <c r="BG54" i="3" s="1"/>
  <c r="GL54" i="3"/>
  <c r="AH152" i="3"/>
  <c r="CD152" i="3"/>
  <c r="EP54" i="3"/>
  <c r="L60" i="4"/>
  <c r="L67" i="4" s="1"/>
  <c r="AG54" i="3"/>
  <c r="Z54" i="3" s="1"/>
  <c r="BN152" i="3"/>
  <c r="HB54" i="3"/>
  <c r="G60" i="4"/>
  <c r="J39" i="4" s="1"/>
  <c r="K39" i="4" s="1"/>
  <c r="J38" i="4" s="1"/>
  <c r="L40" i="4" s="1"/>
  <c r="FF54" i="3"/>
  <c r="F63" i="3"/>
  <c r="EP152" i="3"/>
  <c r="DZ152" i="3"/>
  <c r="Z56" i="3"/>
  <c r="AH162" i="3"/>
  <c r="HB64" i="3"/>
  <c r="EP162" i="3"/>
  <c r="DJ162" i="3"/>
  <c r="CD162" i="3"/>
  <c r="EP64" i="3"/>
  <c r="DZ64" i="3"/>
  <c r="BN162" i="3"/>
  <c r="AX64" i="3"/>
  <c r="AX162" i="3"/>
  <c r="CT64" i="3"/>
  <c r="DZ162" i="3"/>
  <c r="FV64" i="3"/>
  <c r="DJ64" i="3"/>
  <c r="BN64" i="3"/>
  <c r="FF64" i="3"/>
  <c r="CD64" i="3"/>
  <c r="AG64" i="3"/>
  <c r="FF162" i="3"/>
  <c r="CT162" i="3"/>
  <c r="GL64" i="3"/>
  <c r="AQ55" i="3"/>
  <c r="Z55" i="3"/>
  <c r="AQ56" i="3"/>
  <c r="AQ65" i="3"/>
  <c r="FF164" i="3"/>
  <c r="CD164" i="3"/>
  <c r="CT66" i="3"/>
  <c r="CM66" i="3" s="1"/>
  <c r="EP66" i="3"/>
  <c r="AH164" i="3"/>
  <c r="CD66" i="3"/>
  <c r="BW66" i="3" s="1"/>
  <c r="DZ66" i="3"/>
  <c r="FV66" i="3"/>
  <c r="BN164" i="3"/>
  <c r="DJ164" i="3"/>
  <c r="HB66" i="3"/>
  <c r="AX66" i="3"/>
  <c r="AQ66" i="3" s="1"/>
  <c r="AG66" i="3"/>
  <c r="Z66" i="3" s="1"/>
  <c r="CT164" i="3"/>
  <c r="GL66" i="3"/>
  <c r="DJ66" i="3"/>
  <c r="FF66" i="3"/>
  <c r="EP164" i="3"/>
  <c r="F75" i="3"/>
  <c r="AX164" i="3"/>
  <c r="BN66" i="3"/>
  <c r="BG66" i="3" s="1"/>
  <c r="DZ164" i="3"/>
  <c r="BK87" i="3"/>
  <c r="BO22" i="2"/>
  <c r="BO24" i="2" s="1"/>
  <c r="Q24" i="2"/>
  <c r="DN51" i="2"/>
  <c r="DN57" i="2" s="1"/>
  <c r="DN50" i="2"/>
  <c r="DN56" i="2" s="1"/>
  <c r="BD28" i="2"/>
  <c r="BF28" i="2" s="1"/>
  <c r="BF31" i="2" s="1"/>
  <c r="L80" i="4"/>
  <c r="AL38" i="2"/>
  <c r="AA70" i="2"/>
  <c r="AA71" i="2" s="1"/>
  <c r="AA73" i="2" s="1"/>
  <c r="Z79" i="2" s="1"/>
  <c r="AU94" i="2"/>
  <c r="AU69" i="2"/>
  <c r="AU74" i="2"/>
  <c r="AP66" i="2"/>
  <c r="AU68" i="2"/>
  <c r="AU70" i="2" s="1"/>
  <c r="AU71" i="2" s="1"/>
  <c r="AU73" i="2" s="1"/>
  <c r="AT80" i="2"/>
  <c r="AV80" i="2" s="1"/>
  <c r="BO45" i="2"/>
  <c r="BO44" i="2"/>
  <c r="BO46" i="2" s="1"/>
  <c r="AU23" i="2"/>
  <c r="AT29" i="2"/>
  <c r="AV29" i="2" s="1"/>
  <c r="AU42" i="2"/>
  <c r="AP15" i="2"/>
  <c r="AU18" i="2"/>
  <c r="AU19" i="2" s="1"/>
  <c r="AU20" i="2" s="1"/>
  <c r="AU22" i="2" s="1"/>
  <c r="AF66" i="2"/>
  <c r="AK94" i="2"/>
  <c r="AK69" i="2"/>
  <c r="AK74" i="2"/>
  <c r="AK68" i="2"/>
  <c r="AJ38" i="2"/>
  <c r="DD32" i="2"/>
  <c r="DC47" i="2" s="1"/>
  <c r="BD38" i="2"/>
  <c r="L69" i="4"/>
  <c r="L57" i="4"/>
  <c r="CI47" i="2"/>
  <c r="CI49" i="2" s="1"/>
  <c r="CI27" i="2"/>
  <c r="CI29" i="2" s="1"/>
  <c r="D135" i="2"/>
  <c r="AF65" i="3"/>
  <c r="AF54" i="3"/>
  <c r="AF56" i="3"/>
  <c r="BE69" i="2"/>
  <c r="BE94" i="2"/>
  <c r="BE68" i="2"/>
  <c r="BE70" i="2" s="1"/>
  <c r="BE71" i="2" s="1"/>
  <c r="BE73" i="2" s="1"/>
  <c r="AZ66" i="2"/>
  <c r="BD80" i="2"/>
  <c r="BF80" i="2" s="1"/>
  <c r="BE74" i="2"/>
  <c r="AR18" i="6"/>
  <c r="CN85" i="3"/>
  <c r="CQ85" i="3" s="1"/>
  <c r="CT16" i="3"/>
  <c r="DE5" i="3"/>
  <c r="CM5" i="3"/>
  <c r="CT68" i="3"/>
  <c r="CT69" i="3"/>
  <c r="CT71" i="3"/>
  <c r="CR5" i="3"/>
  <c r="CS5" i="3" s="1"/>
  <c r="CS42" i="2"/>
  <c r="BI54" i="3"/>
  <c r="BI55" i="3"/>
  <c r="BI56" i="3"/>
  <c r="BD31" i="2"/>
  <c r="Q34" i="2"/>
  <c r="AW65" i="3"/>
  <c r="AW55" i="3"/>
  <c r="AW54" i="3"/>
  <c r="AW56" i="3"/>
  <c r="CB6" i="3"/>
  <c r="CC6" i="3" s="1"/>
  <c r="CE68" i="3"/>
  <c r="BX87" i="3"/>
  <c r="CA87" i="3" s="1"/>
  <c r="CO6" i="3"/>
  <c r="CE69" i="3"/>
  <c r="BW6" i="3"/>
  <c r="CC54" i="3" s="1"/>
  <c r="CE71" i="3"/>
  <c r="BY66" i="3"/>
  <c r="DN39" i="2"/>
  <c r="DN48" i="2"/>
  <c r="DN54" i="2" s="1"/>
  <c r="AK46" i="2"/>
  <c r="AF46" i="2"/>
  <c r="M43" i="3"/>
  <c r="M58" i="3"/>
  <c r="M79" i="3"/>
  <c r="M46" i="3"/>
  <c r="M54" i="3"/>
  <c r="M66" i="3"/>
  <c r="M39" i="3"/>
  <c r="M49" i="3"/>
  <c r="M60" i="3"/>
  <c r="M47" i="3"/>
  <c r="M50" i="3"/>
  <c r="M42" i="3"/>
  <c r="M56" i="3"/>
  <c r="M45" i="3"/>
  <c r="M68" i="3"/>
  <c r="M74" i="3"/>
  <c r="M48" i="3"/>
  <c r="M44" i="3"/>
  <c r="M53" i="3"/>
  <c r="M55" i="3"/>
  <c r="F8" i="3"/>
  <c r="M61" i="3"/>
  <c r="M67" i="3"/>
  <c r="M75" i="3"/>
  <c r="M65" i="3"/>
  <c r="M63" i="3"/>
  <c r="M64" i="3"/>
  <c r="AA97" i="2"/>
  <c r="BY25" i="2"/>
  <c r="BY27" i="2" s="1"/>
  <c r="D118" i="2"/>
  <c r="BE51" i="2"/>
  <c r="BE50" i="2"/>
  <c r="BE52" i="2" s="1"/>
  <c r="AA42" i="2"/>
  <c r="AA18" i="2"/>
  <c r="AA19" i="2" s="1"/>
  <c r="AA20" i="2" s="1"/>
  <c r="AA22" i="2" s="1"/>
  <c r="Z29" i="2"/>
  <c r="AB29" i="2" s="1"/>
  <c r="V15" i="2"/>
  <c r="AA23" i="2"/>
  <c r="AK24" i="2"/>
  <c r="AJ28" i="2"/>
  <c r="E10" i="4"/>
  <c r="G10" i="4"/>
  <c r="N74" i="3"/>
  <c r="O74" i="3"/>
  <c r="BF38" i="2"/>
  <c r="CS162" i="3"/>
  <c r="EO162" i="3"/>
  <c r="AG162" i="3"/>
  <c r="FE162" i="3"/>
  <c r="CC162" i="3"/>
  <c r="DY162" i="3"/>
  <c r="CC64" i="3"/>
  <c r="AF64" i="3"/>
  <c r="AW64" i="3"/>
  <c r="GK64" i="3"/>
  <c r="AW162" i="3"/>
  <c r="FE64" i="3"/>
  <c r="HA64" i="3"/>
  <c r="DY64" i="3"/>
  <c r="DI162" i="3"/>
  <c r="FU64" i="3"/>
  <c r="CS64" i="3"/>
  <c r="DI64" i="3"/>
  <c r="BM64" i="3"/>
  <c r="BM162" i="3"/>
  <c r="EO64" i="3"/>
  <c r="AF55" i="3"/>
  <c r="BW65" i="3"/>
  <c r="BW56" i="3"/>
  <c r="BW55" i="3"/>
  <c r="CR32" i="2"/>
  <c r="CT28" i="2"/>
  <c r="CR30" i="2"/>
  <c r="CT30" i="2" s="1"/>
  <c r="CO7" i="3"/>
  <c r="CF68" i="3"/>
  <c r="CF71" i="3"/>
  <c r="CA66" i="3"/>
  <c r="BX89" i="3"/>
  <c r="CA89" i="3" s="1"/>
  <c r="CF89" i="3" s="1"/>
  <c r="CB7" i="3"/>
  <c r="CC7" i="3" s="1"/>
  <c r="CF69" i="3"/>
  <c r="AF8" i="3" l="1"/>
  <c r="AE95" i="3" s="1"/>
  <c r="CC8" i="3"/>
  <c r="CB95" i="3" s="1"/>
  <c r="BN29" i="2"/>
  <c r="BP29" i="2" s="1"/>
  <c r="BN33" i="2"/>
  <c r="BN31" i="2"/>
  <c r="E112" i="2" s="1"/>
  <c r="AK70" i="2"/>
  <c r="AK71" i="2" s="1"/>
  <c r="AK73" i="2" s="1"/>
  <c r="AJ79" i="2" s="1"/>
  <c r="AA75" i="2"/>
  <c r="AU24" i="2"/>
  <c r="AT28" i="2"/>
  <c r="AT79" i="2"/>
  <c r="AU75" i="2"/>
  <c r="CC56" i="3"/>
  <c r="AU45" i="2"/>
  <c r="AU48" i="2" s="1"/>
  <c r="AP45" i="2"/>
  <c r="AP97" i="2"/>
  <c r="AU97" i="2"/>
  <c r="AU100" i="2" s="1"/>
  <c r="BW8" i="3"/>
  <c r="BY65" i="3" s="1"/>
  <c r="CC55" i="3"/>
  <c r="AF97" i="2"/>
  <c r="AK97" i="2"/>
  <c r="M57" i="3"/>
  <c r="BM48" i="3" s="1"/>
  <c r="G38" i="4"/>
  <c r="M40" i="4" s="1"/>
  <c r="BE54" i="2"/>
  <c r="AL28" i="2"/>
  <c r="AL31" i="2" s="1"/>
  <c r="AJ31" i="2"/>
  <c r="AG138" i="3"/>
  <c r="CS138" i="3"/>
  <c r="FE138" i="3"/>
  <c r="BM138" i="3"/>
  <c r="DY138" i="3"/>
  <c r="EO138" i="3"/>
  <c r="GK40" i="3"/>
  <c r="BM40" i="3"/>
  <c r="FU40" i="3"/>
  <c r="AW40" i="3"/>
  <c r="AF40" i="3"/>
  <c r="CC138" i="3"/>
  <c r="FE40" i="3"/>
  <c r="EO40" i="3"/>
  <c r="DY40" i="3"/>
  <c r="DI138" i="3"/>
  <c r="DI40" i="3"/>
  <c r="CC40" i="3"/>
  <c r="AW138" i="3"/>
  <c r="HA40" i="3"/>
  <c r="CS40" i="3"/>
  <c r="CV69" i="3"/>
  <c r="CN89" i="3"/>
  <c r="CQ89" i="3" s="1"/>
  <c r="CV68" i="3"/>
  <c r="CR7" i="3"/>
  <c r="CS7" i="3" s="1"/>
  <c r="CV71" i="3"/>
  <c r="DE7" i="3"/>
  <c r="CQ66" i="3"/>
  <c r="CV77" i="3"/>
  <c r="CV78" i="3" s="1"/>
  <c r="CC134" i="3"/>
  <c r="EO134" i="3"/>
  <c r="AG134" i="3"/>
  <c r="CS134" i="3"/>
  <c r="FE134" i="3"/>
  <c r="AW134" i="3"/>
  <c r="DI134" i="3"/>
  <c r="BM134" i="3"/>
  <c r="DY134" i="3"/>
  <c r="CS36" i="3"/>
  <c r="HA36" i="3"/>
  <c r="CC36" i="3"/>
  <c r="GK36" i="3"/>
  <c r="BM36" i="3"/>
  <c r="FU36" i="3"/>
  <c r="AW36" i="3"/>
  <c r="AF36" i="3"/>
  <c r="FE36" i="3"/>
  <c r="EO36" i="3"/>
  <c r="DI36" i="3"/>
  <c r="DY36" i="3"/>
  <c r="EO155" i="3"/>
  <c r="AG155" i="3"/>
  <c r="FE155" i="3"/>
  <c r="AW57" i="3"/>
  <c r="AW155" i="3"/>
  <c r="CC155" i="3"/>
  <c r="CS155" i="3"/>
  <c r="CC57" i="3"/>
  <c r="BM155" i="3"/>
  <c r="DI155" i="3"/>
  <c r="GK57" i="3"/>
  <c r="DY155" i="3"/>
  <c r="FE57" i="3"/>
  <c r="N71" i="3"/>
  <c r="DY57" i="3"/>
  <c r="HA57" i="3"/>
  <c r="CS57" i="3"/>
  <c r="CT62" i="3" s="1"/>
  <c r="FU57" i="3"/>
  <c r="AF57" i="3"/>
  <c r="DI57" i="3"/>
  <c r="O71" i="3"/>
  <c r="EO57" i="3"/>
  <c r="BM57" i="3"/>
  <c r="BY54" i="3"/>
  <c r="BY56" i="3"/>
  <c r="BY55" i="3"/>
  <c r="DY150" i="3"/>
  <c r="EO150" i="3"/>
  <c r="AG150" i="3"/>
  <c r="FE150" i="3"/>
  <c r="BM150" i="3"/>
  <c r="CC150" i="3"/>
  <c r="CS150" i="3"/>
  <c r="CC52" i="3"/>
  <c r="HA52" i="3"/>
  <c r="CS52" i="3"/>
  <c r="CT52" i="3" s="1"/>
  <c r="DI52" i="3"/>
  <c r="N61" i="3"/>
  <c r="DY52" i="3"/>
  <c r="AW150" i="3"/>
  <c r="EO52" i="3"/>
  <c r="DI150" i="3"/>
  <c r="AF52" i="3"/>
  <c r="FE52" i="3"/>
  <c r="AW52" i="3"/>
  <c r="BM52" i="3"/>
  <c r="GK52" i="3"/>
  <c r="FU52" i="3"/>
  <c r="O61" i="3"/>
  <c r="DY156" i="3"/>
  <c r="EO156" i="3"/>
  <c r="AG156" i="3"/>
  <c r="FE156" i="3"/>
  <c r="AF58" i="3"/>
  <c r="BM156" i="3"/>
  <c r="CC156" i="3"/>
  <c r="HA58" i="3"/>
  <c r="FE58" i="3"/>
  <c r="FU58" i="3"/>
  <c r="DY58" i="3"/>
  <c r="EO58" i="3"/>
  <c r="CS58" i="3"/>
  <c r="DI58" i="3"/>
  <c r="BM58" i="3"/>
  <c r="AW156" i="3"/>
  <c r="CC58" i="3"/>
  <c r="CS156" i="3"/>
  <c r="AW58" i="3"/>
  <c r="GK58" i="3"/>
  <c r="DI156" i="3"/>
  <c r="DI157" i="3"/>
  <c r="DY157" i="3"/>
  <c r="EO157" i="3"/>
  <c r="AW157" i="3"/>
  <c r="BM157" i="3"/>
  <c r="CC157" i="3"/>
  <c r="AF59" i="3"/>
  <c r="CS157" i="3"/>
  <c r="FE157" i="3"/>
  <c r="HA59" i="3"/>
  <c r="GK59" i="3"/>
  <c r="FU59" i="3"/>
  <c r="FE59" i="3"/>
  <c r="EO59" i="3"/>
  <c r="DY59" i="3"/>
  <c r="DI59" i="3"/>
  <c r="CS59" i="3"/>
  <c r="BM59" i="3"/>
  <c r="AG157" i="3"/>
  <c r="AW59" i="3"/>
  <c r="CC59" i="3"/>
  <c r="BM145" i="3"/>
  <c r="CC145" i="3"/>
  <c r="CS145" i="3"/>
  <c r="DY145" i="3"/>
  <c r="EO145" i="3"/>
  <c r="AW47" i="3"/>
  <c r="AG145" i="3"/>
  <c r="FE145" i="3"/>
  <c r="EO47" i="3"/>
  <c r="GK47" i="3"/>
  <c r="DI47" i="3"/>
  <c r="FE47" i="3"/>
  <c r="CC47" i="3"/>
  <c r="AW145" i="3"/>
  <c r="DY47" i="3"/>
  <c r="DI145" i="3"/>
  <c r="CS47" i="3"/>
  <c r="BM47" i="3"/>
  <c r="FU47" i="3"/>
  <c r="AF47" i="3"/>
  <c r="HA47" i="3"/>
  <c r="CS143" i="3"/>
  <c r="DI143" i="3"/>
  <c r="AW45" i="3"/>
  <c r="DY143" i="3"/>
  <c r="AG143" i="3"/>
  <c r="FE143" i="3"/>
  <c r="AW143" i="3"/>
  <c r="BM143" i="3"/>
  <c r="EO143" i="3"/>
  <c r="CS45" i="3"/>
  <c r="HA45" i="3"/>
  <c r="BM45" i="3"/>
  <c r="FU45" i="3"/>
  <c r="AF45" i="3"/>
  <c r="EO45" i="3"/>
  <c r="DI45" i="3"/>
  <c r="CC45" i="3"/>
  <c r="GK45" i="3"/>
  <c r="DY45" i="3"/>
  <c r="CC143" i="3"/>
  <c r="FE45" i="3"/>
  <c r="CT32" i="2"/>
  <c r="DK65" i="3"/>
  <c r="AH65" i="3"/>
  <c r="CU163" i="3"/>
  <c r="EQ65" i="3"/>
  <c r="BO65" i="3"/>
  <c r="EA163" i="3"/>
  <c r="FW65" i="3"/>
  <c r="CU65" i="3"/>
  <c r="FG163" i="3"/>
  <c r="HC65" i="3"/>
  <c r="EA65" i="3"/>
  <c r="AY163" i="3"/>
  <c r="FG65" i="3"/>
  <c r="CE163" i="3"/>
  <c r="GM65" i="3"/>
  <c r="AY65" i="3"/>
  <c r="DK163" i="3"/>
  <c r="AI163" i="3"/>
  <c r="CE65" i="3"/>
  <c r="EQ163" i="3"/>
  <c r="BO163" i="3"/>
  <c r="CC144" i="3"/>
  <c r="CS144" i="3"/>
  <c r="DI144" i="3"/>
  <c r="AW46" i="3"/>
  <c r="EO144" i="3"/>
  <c r="AG144" i="3"/>
  <c r="FE144" i="3"/>
  <c r="AW144" i="3"/>
  <c r="FE46" i="3"/>
  <c r="BM144" i="3"/>
  <c r="DY46" i="3"/>
  <c r="DY144" i="3"/>
  <c r="CS46" i="3"/>
  <c r="BM46" i="3"/>
  <c r="HA46" i="3"/>
  <c r="AF46" i="3"/>
  <c r="FU46" i="3"/>
  <c r="EO46" i="3"/>
  <c r="DI46" i="3"/>
  <c r="GK46" i="3"/>
  <c r="CC46" i="3"/>
  <c r="BM131" i="3"/>
  <c r="DY131" i="3"/>
  <c r="CC131" i="3"/>
  <c r="EO131" i="3"/>
  <c r="AG131" i="3"/>
  <c r="CS131" i="3"/>
  <c r="FE131" i="3"/>
  <c r="AF33" i="3"/>
  <c r="K51" i="3"/>
  <c r="AW131" i="3"/>
  <c r="DI131" i="3"/>
  <c r="GK33" i="3"/>
  <c r="BM33" i="3"/>
  <c r="FU33" i="3"/>
  <c r="AW33" i="3"/>
  <c r="FE33" i="3"/>
  <c r="EO33" i="3"/>
  <c r="DY33" i="3"/>
  <c r="M51" i="3"/>
  <c r="DI33" i="3"/>
  <c r="CS33" i="3"/>
  <c r="CC33" i="3"/>
  <c r="HA33" i="3"/>
  <c r="BM135" i="3"/>
  <c r="DY135" i="3"/>
  <c r="AF37" i="3"/>
  <c r="CC135" i="3"/>
  <c r="EO135" i="3"/>
  <c r="AG135" i="3"/>
  <c r="CS135" i="3"/>
  <c r="FE135" i="3"/>
  <c r="AW135" i="3"/>
  <c r="DI135" i="3"/>
  <c r="FU37" i="3"/>
  <c r="AW37" i="3"/>
  <c r="FE37" i="3"/>
  <c r="EO37" i="3"/>
  <c r="DY37" i="3"/>
  <c r="DI37" i="3"/>
  <c r="CS37" i="3"/>
  <c r="CC37" i="3"/>
  <c r="BM37" i="3"/>
  <c r="HA37" i="3"/>
  <c r="GK37" i="3"/>
  <c r="BD79" i="2"/>
  <c r="BE75" i="2"/>
  <c r="DY128" i="3"/>
  <c r="EO128" i="3"/>
  <c r="AG128" i="3"/>
  <c r="FE128" i="3"/>
  <c r="BM128" i="3"/>
  <c r="CC128" i="3"/>
  <c r="CS128" i="3"/>
  <c r="DI128" i="3"/>
  <c r="DI30" i="3"/>
  <c r="DJ30" i="3" s="1"/>
  <c r="CS30" i="3"/>
  <c r="CT30" i="3" s="1"/>
  <c r="O39" i="3"/>
  <c r="HA30" i="3"/>
  <c r="CC30" i="3"/>
  <c r="GK30" i="3"/>
  <c r="BM30" i="3"/>
  <c r="FU30" i="3"/>
  <c r="AW30" i="3"/>
  <c r="FE30" i="3"/>
  <c r="AW128" i="3"/>
  <c r="DY30" i="3"/>
  <c r="AF30" i="3"/>
  <c r="EO30" i="3"/>
  <c r="N39" i="3"/>
  <c r="AA24" i="2"/>
  <c r="Z28" i="2"/>
  <c r="M71" i="3"/>
  <c r="AW44" i="3"/>
  <c r="DI142" i="3"/>
  <c r="DY142" i="3"/>
  <c r="EO142" i="3"/>
  <c r="AW142" i="3"/>
  <c r="BM142" i="3"/>
  <c r="CC142" i="3"/>
  <c r="AF44" i="3"/>
  <c r="DI44" i="3"/>
  <c r="CC44" i="3"/>
  <c r="GK44" i="3"/>
  <c r="AG142" i="3"/>
  <c r="FE44" i="3"/>
  <c r="CS142" i="3"/>
  <c r="DY44" i="3"/>
  <c r="HA44" i="3"/>
  <c r="FU44" i="3"/>
  <c r="FE142" i="3"/>
  <c r="CS44" i="3"/>
  <c r="BM44" i="3"/>
  <c r="EO44" i="3"/>
  <c r="DY139" i="3"/>
  <c r="EO139" i="3"/>
  <c r="AG139" i="3"/>
  <c r="FE139" i="3"/>
  <c r="BM139" i="3"/>
  <c r="AW41" i="3"/>
  <c r="CC139" i="3"/>
  <c r="CS139" i="3"/>
  <c r="GK41" i="3"/>
  <c r="AW139" i="3"/>
  <c r="FE41" i="3"/>
  <c r="HA41" i="3"/>
  <c r="DI139" i="3"/>
  <c r="DY41" i="3"/>
  <c r="FU41" i="3"/>
  <c r="CS41" i="3"/>
  <c r="EO41" i="3"/>
  <c r="BM41" i="3"/>
  <c r="DI41" i="3"/>
  <c r="AF41" i="3"/>
  <c r="CC41" i="3"/>
  <c r="AF70" i="3"/>
  <c r="BM168" i="3"/>
  <c r="EO168" i="3"/>
  <c r="FE70" i="3"/>
  <c r="FE168" i="3"/>
  <c r="EO70" i="3"/>
  <c r="AG168" i="3"/>
  <c r="DY70" i="3"/>
  <c r="AW168" i="3"/>
  <c r="DI70" i="3"/>
  <c r="DJ70" i="3" s="1"/>
  <c r="CC168" i="3"/>
  <c r="CS70" i="3"/>
  <c r="CV73" i="3" s="1"/>
  <c r="CS168" i="3"/>
  <c r="HA70" i="3"/>
  <c r="CC70" i="3"/>
  <c r="N79" i="3"/>
  <c r="FU70" i="3"/>
  <c r="BM70" i="3"/>
  <c r="DI168" i="3"/>
  <c r="DY168" i="3"/>
  <c r="AW70" i="3"/>
  <c r="O79" i="3"/>
  <c r="GK70" i="3"/>
  <c r="O82" i="3"/>
  <c r="M82" i="3"/>
  <c r="N82" i="3"/>
  <c r="CM56" i="3"/>
  <c r="CM55" i="3"/>
  <c r="CM65" i="3"/>
  <c r="CM54" i="3"/>
  <c r="AZ97" i="2"/>
  <c r="BE97" i="2"/>
  <c r="AK49" i="2"/>
  <c r="Q35" i="2"/>
  <c r="Q37" i="2" s="1"/>
  <c r="Q36" i="2"/>
  <c r="Q39" i="2" s="1"/>
  <c r="Q6" i="2" s="1"/>
  <c r="AR19" i="6"/>
  <c r="DU5" i="3"/>
  <c r="DJ52" i="3"/>
  <c r="DJ68" i="3"/>
  <c r="DJ69" i="3"/>
  <c r="DD85" i="3"/>
  <c r="DG85" i="3" s="1"/>
  <c r="DJ71" i="3"/>
  <c r="DJ16" i="3"/>
  <c r="DC5" i="3"/>
  <c r="DC66" i="3"/>
  <c r="DE8" i="3"/>
  <c r="DK93" i="3" s="1"/>
  <c r="DH5" i="3"/>
  <c r="DI5" i="3" s="1"/>
  <c r="AB79" i="2"/>
  <c r="AB82" i="2" s="1"/>
  <c r="Z82" i="2"/>
  <c r="FV65" i="3"/>
  <c r="AX163" i="3"/>
  <c r="DJ163" i="3"/>
  <c r="AG65" i="3"/>
  <c r="AX65" i="3"/>
  <c r="DJ65" i="3"/>
  <c r="HB65" i="3"/>
  <c r="FF65" i="3"/>
  <c r="EP65" i="3"/>
  <c r="DZ65" i="3"/>
  <c r="CD65" i="3"/>
  <c r="FF163" i="3"/>
  <c r="CT65" i="3"/>
  <c r="DZ163" i="3"/>
  <c r="BN65" i="3"/>
  <c r="CT163" i="3"/>
  <c r="BN163" i="3"/>
  <c r="EP163" i="3"/>
  <c r="AH163" i="3"/>
  <c r="CD163" i="3"/>
  <c r="GL65" i="3"/>
  <c r="V45" i="2"/>
  <c r="AA45" i="2"/>
  <c r="BY44" i="2"/>
  <c r="BY46" i="2" s="1"/>
  <c r="BY36" i="2"/>
  <c r="BV32" i="2"/>
  <c r="BY32" i="2"/>
  <c r="BY34" i="2" s="1"/>
  <c r="BY35" i="2" s="1"/>
  <c r="BY38" i="2"/>
  <c r="AG133" i="3"/>
  <c r="CS133" i="3"/>
  <c r="FE133" i="3"/>
  <c r="AW133" i="3"/>
  <c r="DI133" i="3"/>
  <c r="AF35" i="3"/>
  <c r="BM133" i="3"/>
  <c r="DY133" i="3"/>
  <c r="CC133" i="3"/>
  <c r="EO133" i="3"/>
  <c r="DI35" i="3"/>
  <c r="CS35" i="3"/>
  <c r="HA35" i="3"/>
  <c r="CC35" i="3"/>
  <c r="GK35" i="3"/>
  <c r="BM35" i="3"/>
  <c r="FU35" i="3"/>
  <c r="AW35" i="3"/>
  <c r="FE35" i="3"/>
  <c r="EO35" i="3"/>
  <c r="DY35" i="3"/>
  <c r="AF38" i="3"/>
  <c r="DI136" i="3"/>
  <c r="DY38" i="3"/>
  <c r="CS136" i="3"/>
  <c r="DI38" i="3"/>
  <c r="CC136" i="3"/>
  <c r="CS38" i="3"/>
  <c r="FE136" i="3"/>
  <c r="BM136" i="3"/>
  <c r="HA38" i="3"/>
  <c r="CC38" i="3"/>
  <c r="GK38" i="3"/>
  <c r="BM38" i="3"/>
  <c r="EO136" i="3"/>
  <c r="AW136" i="3"/>
  <c r="FU38" i="3"/>
  <c r="AW38" i="3"/>
  <c r="AG136" i="3"/>
  <c r="EO38" i="3"/>
  <c r="DY136" i="3"/>
  <c r="FE38" i="3"/>
  <c r="AG147" i="3"/>
  <c r="FE147" i="3"/>
  <c r="AW147" i="3"/>
  <c r="BM147" i="3"/>
  <c r="CS147" i="3"/>
  <c r="DI147" i="3"/>
  <c r="DY147" i="3"/>
  <c r="CC147" i="3"/>
  <c r="DI49" i="3"/>
  <c r="FE49" i="3"/>
  <c r="EO147" i="3"/>
  <c r="EO49" i="3"/>
  <c r="GK49" i="3"/>
  <c r="FU49" i="3"/>
  <c r="HA49" i="3"/>
  <c r="AF49" i="3"/>
  <c r="BM49" i="3"/>
  <c r="CS49" i="3"/>
  <c r="DY49" i="3"/>
  <c r="AW49" i="3"/>
  <c r="CC49" i="3"/>
  <c r="CU68" i="3"/>
  <c r="CU73" i="3"/>
  <c r="CU71" i="3"/>
  <c r="CM6" i="3"/>
  <c r="CS54" i="3" s="1"/>
  <c r="DE6" i="3"/>
  <c r="CR6" i="3"/>
  <c r="CS6" i="3" s="1"/>
  <c r="CN87" i="3"/>
  <c r="CQ87" i="3" s="1"/>
  <c r="CU70" i="3"/>
  <c r="CU52" i="3"/>
  <c r="CU69" i="3"/>
  <c r="CO66" i="3"/>
  <c r="CS43" i="2"/>
  <c r="CS45" i="2" s="1"/>
  <c r="CS44" i="2"/>
  <c r="CS47" i="2" s="1"/>
  <c r="CI38" i="2"/>
  <c r="CI34" i="2"/>
  <c r="CI36" i="2" s="1"/>
  <c r="CI37" i="2" s="1"/>
  <c r="CI39" i="2" s="1"/>
  <c r="CF34" i="2"/>
  <c r="CI40" i="2"/>
  <c r="AA100" i="2"/>
  <c r="AF66" i="3"/>
  <c r="CS164" i="3"/>
  <c r="BM66" i="3"/>
  <c r="DY164" i="3"/>
  <c r="EO66" i="3"/>
  <c r="GK66" i="3"/>
  <c r="DI164" i="3"/>
  <c r="FE66" i="3"/>
  <c r="CC66" i="3"/>
  <c r="BM164" i="3"/>
  <c r="DI66" i="3"/>
  <c r="FE164" i="3"/>
  <c r="CC164" i="3"/>
  <c r="AW66" i="3"/>
  <c r="EO164" i="3"/>
  <c r="FU66" i="3"/>
  <c r="HA66" i="3"/>
  <c r="CS66" i="3"/>
  <c r="DY66" i="3"/>
  <c r="AW164" i="3"/>
  <c r="AG164" i="3"/>
  <c r="AF39" i="3"/>
  <c r="AW137" i="3"/>
  <c r="DI137" i="3"/>
  <c r="CC137" i="3"/>
  <c r="EO137" i="3"/>
  <c r="AG137" i="3"/>
  <c r="HA39" i="3"/>
  <c r="CC39" i="3"/>
  <c r="DY137" i="3"/>
  <c r="GK39" i="3"/>
  <c r="BM39" i="3"/>
  <c r="FU39" i="3"/>
  <c r="AW39" i="3"/>
  <c r="BM137" i="3"/>
  <c r="FE39" i="3"/>
  <c r="FE137" i="3"/>
  <c r="EO39" i="3"/>
  <c r="DY39" i="3"/>
  <c r="CS39" i="3"/>
  <c r="CS137" i="3"/>
  <c r="DI39" i="3"/>
  <c r="EO149" i="3"/>
  <c r="AG149" i="3"/>
  <c r="FE149" i="3"/>
  <c r="AW149" i="3"/>
  <c r="CC149" i="3"/>
  <c r="CS149" i="3"/>
  <c r="DI149" i="3"/>
  <c r="BM51" i="3"/>
  <c r="GK51" i="3"/>
  <c r="CC51" i="3"/>
  <c r="HA51" i="3"/>
  <c r="N60" i="3"/>
  <c r="BM149" i="3"/>
  <c r="CS51" i="3"/>
  <c r="CT51" i="3" s="1"/>
  <c r="DY149" i="3"/>
  <c r="DI51" i="3"/>
  <c r="DJ51" i="3" s="1"/>
  <c r="DY51" i="3"/>
  <c r="O60" i="3"/>
  <c r="EO51" i="3"/>
  <c r="AW51" i="3"/>
  <c r="FE51" i="3"/>
  <c r="AF51" i="3"/>
  <c r="FU51" i="3"/>
  <c r="AW132" i="3"/>
  <c r="DI132" i="3"/>
  <c r="AF34" i="3"/>
  <c r="BM132" i="3"/>
  <c r="DY132" i="3"/>
  <c r="CC132" i="3"/>
  <c r="EO132" i="3"/>
  <c r="AG132" i="3"/>
  <c r="CS132" i="3"/>
  <c r="FE132" i="3"/>
  <c r="EO34" i="3"/>
  <c r="DY34" i="3"/>
  <c r="DI34" i="3"/>
  <c r="CS34" i="3"/>
  <c r="HA34" i="3"/>
  <c r="CC34" i="3"/>
  <c r="GK34" i="3"/>
  <c r="BM34" i="3"/>
  <c r="FE34" i="3"/>
  <c r="AW34" i="3"/>
  <c r="FU34" i="3"/>
  <c r="CO8" i="3"/>
  <c r="CU93" i="3" s="1"/>
  <c r="CI52" i="2"/>
  <c r="DJ62" i="3" l="1"/>
  <c r="BY37" i="2"/>
  <c r="BY40" i="2" s="1"/>
  <c r="BP31" i="2"/>
  <c r="BP33" i="2" s="1"/>
  <c r="BO48" i="2" s="1"/>
  <c r="BO6" i="2" s="1"/>
  <c r="M28" i="3" s="1"/>
  <c r="CS23" i="3" s="1"/>
  <c r="CU23" i="3" s="1"/>
  <c r="AK75" i="2"/>
  <c r="DJ73" i="3"/>
  <c r="AK100" i="2"/>
  <c r="AU50" i="2"/>
  <c r="AU49" i="2"/>
  <c r="AU51" i="2" s="1"/>
  <c r="AU102" i="2"/>
  <c r="AU101" i="2"/>
  <c r="AU103" i="2" s="1"/>
  <c r="AV79" i="2"/>
  <c r="AV82" i="2" s="1"/>
  <c r="AU105" i="2" s="1"/>
  <c r="AU58" i="2" s="1"/>
  <c r="AT82" i="2"/>
  <c r="CS56" i="3"/>
  <c r="AT31" i="2"/>
  <c r="AV28" i="2"/>
  <c r="AV31" i="2" s="1"/>
  <c r="AU53" i="2" s="1"/>
  <c r="CV52" i="3"/>
  <c r="AL79" i="2"/>
  <c r="AL82" i="2" s="1"/>
  <c r="AJ82" i="2"/>
  <c r="M59" i="3"/>
  <c r="EO146" i="3"/>
  <c r="HA48" i="3"/>
  <c r="FE48" i="3"/>
  <c r="DY146" i="3"/>
  <c r="AF48" i="3"/>
  <c r="AH50" i="3" s="1"/>
  <c r="DI48" i="3"/>
  <c r="DK50" i="3" s="1"/>
  <c r="DI146" i="3"/>
  <c r="CS146" i="3"/>
  <c r="CC48" i="3"/>
  <c r="CD50" i="3" s="1"/>
  <c r="BM146" i="3"/>
  <c r="CC146" i="3"/>
  <c r="FU48" i="3"/>
  <c r="CS48" i="3"/>
  <c r="CU50" i="3" s="1"/>
  <c r="AW146" i="3"/>
  <c r="N59" i="3"/>
  <c r="FE146" i="3"/>
  <c r="AG146" i="3"/>
  <c r="AW48" i="3"/>
  <c r="AX50" i="3" s="1"/>
  <c r="EO48" i="3"/>
  <c r="DY48" i="3"/>
  <c r="DZ50" i="3" s="1"/>
  <c r="O59" i="3"/>
  <c r="GK48" i="3"/>
  <c r="CU30" i="3"/>
  <c r="CS8" i="3"/>
  <c r="CR95" i="3" s="1"/>
  <c r="AX51" i="3"/>
  <c r="AY51" i="3"/>
  <c r="AZ51" i="3"/>
  <c r="AI51" i="3"/>
  <c r="AG51" i="3"/>
  <c r="AH51" i="3"/>
  <c r="CI41" i="2"/>
  <c r="CI42" i="2"/>
  <c r="DH140" i="3"/>
  <c r="CB140" i="3"/>
  <c r="AI52" i="3"/>
  <c r="AG52" i="3"/>
  <c r="AH52" i="3"/>
  <c r="AI62" i="3"/>
  <c r="AG62" i="3"/>
  <c r="AH62" i="3"/>
  <c r="CV70" i="3"/>
  <c r="AA102" i="2"/>
  <c r="AA101" i="2"/>
  <c r="AA103" i="2" s="1"/>
  <c r="CU51" i="3"/>
  <c r="M14" i="3"/>
  <c r="M16" i="3"/>
  <c r="M27" i="3"/>
  <c r="M25" i="3"/>
  <c r="BN70" i="3"/>
  <c r="BP73" i="3"/>
  <c r="BO70" i="3"/>
  <c r="BO73" i="3"/>
  <c r="BN73" i="3"/>
  <c r="BP70" i="3"/>
  <c r="BN50" i="3"/>
  <c r="BP50" i="3"/>
  <c r="BO50" i="3"/>
  <c r="Z31" i="2"/>
  <c r="AB28" i="2"/>
  <c r="AB31" i="2" s="1"/>
  <c r="AX30" i="3"/>
  <c r="AZ30" i="3"/>
  <c r="AY30" i="3"/>
  <c r="DX42" i="3"/>
  <c r="DZ42" i="3" s="1"/>
  <c r="AV140" i="3"/>
  <c r="DX140" i="3"/>
  <c r="CD52" i="3"/>
  <c r="CE52" i="3"/>
  <c r="CF52" i="3"/>
  <c r="AI70" i="3"/>
  <c r="AH70" i="3"/>
  <c r="AG70" i="3"/>
  <c r="AH73" i="3"/>
  <c r="AG73" i="3"/>
  <c r="AI73" i="3"/>
  <c r="BL140" i="3"/>
  <c r="CV51" i="3"/>
  <c r="CU62" i="3"/>
  <c r="AK50" i="2"/>
  <c r="AK52" i="2" s="1"/>
  <c r="AK51" i="2"/>
  <c r="AK54" i="2" s="1"/>
  <c r="BN30" i="3"/>
  <c r="BO30" i="3"/>
  <c r="BP30" i="3"/>
  <c r="BF79" i="2"/>
  <c r="BF82" i="2" s="1"/>
  <c r="BD82" i="2"/>
  <c r="FD42" i="3"/>
  <c r="AE42" i="3"/>
  <c r="CD62" i="3"/>
  <c r="CF62" i="3"/>
  <c r="CE62" i="3"/>
  <c r="CV62" i="3"/>
  <c r="O51" i="3"/>
  <c r="N51" i="3"/>
  <c r="H40" i="3"/>
  <c r="M40" i="3" s="1"/>
  <c r="CD51" i="3"/>
  <c r="CF51" i="3"/>
  <c r="CE51" i="3"/>
  <c r="CO54" i="3"/>
  <c r="CO56" i="3"/>
  <c r="CO55" i="3"/>
  <c r="CD70" i="3"/>
  <c r="CD73" i="3"/>
  <c r="CE70" i="3"/>
  <c r="CF70" i="3"/>
  <c r="CE73" i="3"/>
  <c r="CF73" i="3"/>
  <c r="GZ42" i="3"/>
  <c r="AV42" i="3"/>
  <c r="FD140" i="3"/>
  <c r="BN62" i="3"/>
  <c r="BO62" i="3"/>
  <c r="BP62" i="3"/>
  <c r="EN42" i="3"/>
  <c r="CM8" i="3"/>
  <c r="CO65" i="3" s="1"/>
  <c r="AG30" i="3"/>
  <c r="AI30" i="3"/>
  <c r="AH30" i="3"/>
  <c r="CD30" i="3"/>
  <c r="CF30" i="3"/>
  <c r="CE30" i="3"/>
  <c r="CB42" i="3"/>
  <c r="FT42" i="3"/>
  <c r="CR140" i="3"/>
  <c r="BN52" i="3"/>
  <c r="BO52" i="3"/>
  <c r="BP52" i="3"/>
  <c r="CV89" i="3"/>
  <c r="CI54" i="2"/>
  <c r="CI53" i="2"/>
  <c r="CI55" i="2" s="1"/>
  <c r="BN51" i="3"/>
  <c r="BP51" i="3"/>
  <c r="BO51" i="3"/>
  <c r="DD87" i="3"/>
  <c r="DG87" i="3" s="1"/>
  <c r="DC6" i="3"/>
  <c r="DI56" i="3" s="1"/>
  <c r="DH6" i="3"/>
  <c r="DI6" i="3" s="1"/>
  <c r="DK73" i="3"/>
  <c r="DK71" i="3"/>
  <c r="DK62" i="3"/>
  <c r="DK52" i="3"/>
  <c r="DK51" i="3"/>
  <c r="DK70" i="3"/>
  <c r="DK69" i="3"/>
  <c r="DK68" i="3"/>
  <c r="DU6" i="3"/>
  <c r="DK30" i="3"/>
  <c r="DE66" i="3"/>
  <c r="BY49" i="2"/>
  <c r="DC65" i="3"/>
  <c r="DC54" i="3"/>
  <c r="DC56" i="3"/>
  <c r="DC55" i="3"/>
  <c r="DT85" i="3"/>
  <c r="DW85" i="3" s="1"/>
  <c r="DZ69" i="3"/>
  <c r="DZ51" i="3"/>
  <c r="DZ73" i="3"/>
  <c r="DS5" i="3"/>
  <c r="DZ62" i="3"/>
  <c r="DZ52" i="3"/>
  <c r="DZ68" i="3"/>
  <c r="DZ70" i="3"/>
  <c r="DZ30" i="3"/>
  <c r="DZ16" i="3"/>
  <c r="DS66" i="3"/>
  <c r="DZ71" i="3"/>
  <c r="DX5" i="3"/>
  <c r="DY5" i="3" s="1"/>
  <c r="AR20" i="6"/>
  <c r="EK5" i="3"/>
  <c r="BE100" i="2"/>
  <c r="CS55" i="3"/>
  <c r="AX70" i="3"/>
  <c r="AY70" i="3"/>
  <c r="AZ70" i="3"/>
  <c r="AY73" i="3"/>
  <c r="AX73" i="3"/>
  <c r="AZ73" i="3"/>
  <c r="CR42" i="3"/>
  <c r="BL42" i="3"/>
  <c r="AF140" i="3"/>
  <c r="AX52" i="3"/>
  <c r="AY52" i="3"/>
  <c r="AZ52" i="3"/>
  <c r="CV30" i="3"/>
  <c r="AA48" i="2"/>
  <c r="AA105" i="2"/>
  <c r="AA58" i="2" s="1"/>
  <c r="CT73" i="3"/>
  <c r="CT70" i="3"/>
  <c r="DH42" i="3"/>
  <c r="DK42" i="3" s="1"/>
  <c r="GJ42" i="3"/>
  <c r="EN140" i="3"/>
  <c r="AX62" i="3"/>
  <c r="AY62" i="3"/>
  <c r="AZ62" i="3"/>
  <c r="DH7" i="3"/>
  <c r="DI7" i="3" s="1"/>
  <c r="DL62" i="3"/>
  <c r="DG66" i="3"/>
  <c r="DL30" i="3"/>
  <c r="DL70" i="3"/>
  <c r="DL71" i="3"/>
  <c r="DL77" i="3"/>
  <c r="DL78" i="3" s="1"/>
  <c r="DL51" i="3"/>
  <c r="DL73" i="3"/>
  <c r="DU7" i="3"/>
  <c r="DD89" i="3"/>
  <c r="DG89" i="3" s="1"/>
  <c r="DL52" i="3"/>
  <c r="DL68" i="3"/>
  <c r="DL69" i="3"/>
  <c r="DI54" i="3" l="1"/>
  <c r="BY39" i="2"/>
  <c r="DI23" i="3"/>
  <c r="DK23" i="3" s="1"/>
  <c r="GK23" i="3"/>
  <c r="CI57" i="2"/>
  <c r="CI6" i="2" s="1"/>
  <c r="M18" i="3" s="1"/>
  <c r="FU17" i="3" s="1"/>
  <c r="EO121" i="3"/>
  <c r="CC23" i="3"/>
  <c r="CE23" i="3" s="1"/>
  <c r="FU23" i="3"/>
  <c r="AW121" i="3"/>
  <c r="EO23" i="3"/>
  <c r="AF23" i="3"/>
  <c r="AH23" i="3" s="1"/>
  <c r="CC121" i="3"/>
  <c r="FE23" i="3"/>
  <c r="BM23" i="3"/>
  <c r="BO23" i="3" s="1"/>
  <c r="K31" i="4"/>
  <c r="BM121" i="3"/>
  <c r="DI121" i="3"/>
  <c r="HA23" i="3"/>
  <c r="FE121" i="3"/>
  <c r="AG121" i="3"/>
  <c r="DY121" i="3"/>
  <c r="DY23" i="3"/>
  <c r="EA23" i="3" s="1"/>
  <c r="AW23" i="3"/>
  <c r="AY23" i="3" s="1"/>
  <c r="CS121" i="3"/>
  <c r="O28" i="3"/>
  <c r="M31" i="4" s="1"/>
  <c r="AU6" i="2"/>
  <c r="M24" i="3" s="1"/>
  <c r="DI55" i="3"/>
  <c r="DC8" i="3"/>
  <c r="DE65" i="3" s="1"/>
  <c r="AK101" i="2"/>
  <c r="AK103" i="2" s="1"/>
  <c r="AK102" i="2"/>
  <c r="AK105" i="2" s="1"/>
  <c r="AK58" i="2" s="1"/>
  <c r="AK6" i="2" s="1"/>
  <c r="M15" i="3" s="1"/>
  <c r="GG31" i="3"/>
  <c r="DJ50" i="3"/>
  <c r="DL50" i="3"/>
  <c r="FQ31" i="3"/>
  <c r="FA129" i="3"/>
  <c r="DU129" i="3"/>
  <c r="AG50" i="3"/>
  <c r="AC129" i="3"/>
  <c r="CT50" i="3"/>
  <c r="CE50" i="3"/>
  <c r="CF50" i="3"/>
  <c r="EK129" i="3"/>
  <c r="CV50" i="3"/>
  <c r="AS129" i="3"/>
  <c r="AI50" i="3"/>
  <c r="DU31" i="3"/>
  <c r="AY50" i="3"/>
  <c r="GW31" i="3"/>
  <c r="BI129" i="3"/>
  <c r="AZ50" i="3"/>
  <c r="BY129" i="3"/>
  <c r="FA31" i="3"/>
  <c r="EK31" i="3"/>
  <c r="DE129" i="3"/>
  <c r="CO129" i="3"/>
  <c r="DL42" i="3"/>
  <c r="DI8" i="3"/>
  <c r="DH95" i="3" s="1"/>
  <c r="BY50" i="2"/>
  <c r="BY52" i="2" s="1"/>
  <c r="BY51" i="2"/>
  <c r="BY54" i="2" s="1"/>
  <c r="BY6" i="2" s="1"/>
  <c r="EA70" i="3"/>
  <c r="EA69" i="3"/>
  <c r="EA68" i="3"/>
  <c r="DX6" i="3"/>
  <c r="DY6" i="3" s="1"/>
  <c r="EA71" i="3"/>
  <c r="EK6" i="3"/>
  <c r="EK8" i="3" s="1"/>
  <c r="EQ93" i="3" s="1"/>
  <c r="DS6" i="3"/>
  <c r="DY54" i="3" s="1"/>
  <c r="EA30" i="3"/>
  <c r="EA51" i="3"/>
  <c r="EA62" i="3"/>
  <c r="EA52" i="3"/>
  <c r="DT87" i="3"/>
  <c r="DW87" i="3" s="1"/>
  <c r="EA42" i="3"/>
  <c r="EA50" i="3"/>
  <c r="EA73" i="3"/>
  <c r="DU66" i="3"/>
  <c r="K17" i="4"/>
  <c r="L17" i="4" s="1"/>
  <c r="DI13" i="3"/>
  <c r="DJ13" i="3" s="1"/>
  <c r="AW111" i="3"/>
  <c r="N14" i="3"/>
  <c r="DY13" i="3"/>
  <c r="DZ13" i="3" s="1"/>
  <c r="BM13" i="3"/>
  <c r="BN13" i="3" s="1"/>
  <c r="GK13" i="3"/>
  <c r="CS111" i="3"/>
  <c r="AG111" i="3"/>
  <c r="CC13" i="3"/>
  <c r="CD13" i="3" s="1"/>
  <c r="DI111" i="3"/>
  <c r="CS13" i="3"/>
  <c r="CT13" i="3" s="1"/>
  <c r="EO111" i="3"/>
  <c r="FU13" i="3"/>
  <c r="HA13" i="3"/>
  <c r="CC111" i="3"/>
  <c r="BM111" i="3"/>
  <c r="AF13" i="3"/>
  <c r="AG13" i="3" s="1"/>
  <c r="DY111" i="3"/>
  <c r="AW13" i="3"/>
  <c r="AX13" i="3" s="1"/>
  <c r="FE111" i="3"/>
  <c r="EO13" i="3"/>
  <c r="EP13" i="3" s="1"/>
  <c r="FE13" i="3"/>
  <c r="AA50" i="2"/>
  <c r="AA49" i="2"/>
  <c r="AA51" i="2" s="1"/>
  <c r="DU8" i="3"/>
  <c r="EA93" i="3" s="1"/>
  <c r="AW15" i="3"/>
  <c r="AX15" i="3" s="1"/>
  <c r="FU15" i="3"/>
  <c r="DI113" i="3"/>
  <c r="CC15" i="3"/>
  <c r="CD15" i="3" s="1"/>
  <c r="HA15" i="3"/>
  <c r="EO113" i="3"/>
  <c r="CS15" i="3"/>
  <c r="CT15" i="3" s="1"/>
  <c r="AG113" i="3"/>
  <c r="FE113" i="3"/>
  <c r="BM15" i="3"/>
  <c r="BN15" i="3" s="1"/>
  <c r="CC113" i="3"/>
  <c r="DI15" i="3"/>
  <c r="DJ15" i="3" s="1"/>
  <c r="CS113" i="3"/>
  <c r="DY15" i="3"/>
  <c r="DZ15" i="3" s="1"/>
  <c r="DY113" i="3"/>
  <c r="EO15" i="3"/>
  <c r="EP15" i="3" s="1"/>
  <c r="N16" i="3"/>
  <c r="K20" i="4"/>
  <c r="L20" i="4" s="1"/>
  <c r="FE15" i="3"/>
  <c r="GK15" i="3"/>
  <c r="AW113" i="3"/>
  <c r="BM113" i="3"/>
  <c r="AF15" i="3"/>
  <c r="AG15" i="3" s="1"/>
  <c r="BI31" i="3"/>
  <c r="BN42" i="3"/>
  <c r="BP42" i="3"/>
  <c r="BO42" i="3"/>
  <c r="BY31" i="3"/>
  <c r="CD42" i="3"/>
  <c r="CE42" i="3"/>
  <c r="CF42" i="3"/>
  <c r="AS31" i="3"/>
  <c r="AX42" i="3"/>
  <c r="AZ42" i="3"/>
  <c r="AY42" i="3"/>
  <c r="AA53" i="2"/>
  <c r="AA6" i="2" s="1"/>
  <c r="M13" i="3" s="1"/>
  <c r="DS8" i="3"/>
  <c r="DU65" i="3" s="1"/>
  <c r="DS56" i="3"/>
  <c r="DS54" i="3"/>
  <c r="DS55" i="3"/>
  <c r="DS65" i="3"/>
  <c r="CO31" i="3"/>
  <c r="CT42" i="3"/>
  <c r="CV42" i="3"/>
  <c r="CU42" i="3"/>
  <c r="DL89" i="3"/>
  <c r="EB51" i="3"/>
  <c r="EB68" i="3"/>
  <c r="DT89" i="3"/>
  <c r="DW89" i="3" s="1"/>
  <c r="EB62" i="3"/>
  <c r="DX7" i="3"/>
  <c r="DY7" i="3" s="1"/>
  <c r="EK7" i="3"/>
  <c r="DW66" i="3"/>
  <c r="EB69" i="3"/>
  <c r="EB30" i="3"/>
  <c r="EB42" i="3"/>
  <c r="EB52" i="3"/>
  <c r="EB73" i="3"/>
  <c r="EB70" i="3"/>
  <c r="EB71" i="3"/>
  <c r="EB50" i="3"/>
  <c r="EB77" i="3"/>
  <c r="EB78" i="3" s="1"/>
  <c r="DE31" i="3"/>
  <c r="DJ42" i="3"/>
  <c r="BE101" i="2"/>
  <c r="BE103" i="2" s="1"/>
  <c r="BE102" i="2"/>
  <c r="BE105" i="2" s="1"/>
  <c r="BE58" i="2" s="1"/>
  <c r="BE6" i="2" s="1"/>
  <c r="M26" i="3" s="1"/>
  <c r="DE55" i="3"/>
  <c r="DE54" i="3"/>
  <c r="DE56" i="3"/>
  <c r="CC31" i="3"/>
  <c r="EO129" i="3"/>
  <c r="FE31" i="3"/>
  <c r="CC129" i="3"/>
  <c r="O40" i="3"/>
  <c r="AW31" i="3"/>
  <c r="AG129" i="3"/>
  <c r="DI31" i="3"/>
  <c r="BM129" i="3"/>
  <c r="DY31" i="3"/>
  <c r="DZ31" i="3" s="1"/>
  <c r="DS74" i="3" s="1"/>
  <c r="DY129" i="3"/>
  <c r="GK31" i="3"/>
  <c r="FE129" i="3"/>
  <c r="EO31" i="3"/>
  <c r="EP31" i="3" s="1"/>
  <c r="N40" i="3"/>
  <c r="FU31" i="3"/>
  <c r="HA31" i="3"/>
  <c r="AF31" i="3"/>
  <c r="AW129" i="3"/>
  <c r="BM31" i="3"/>
  <c r="CS31" i="3"/>
  <c r="DI129" i="3"/>
  <c r="CS129" i="3"/>
  <c r="AG42" i="3"/>
  <c r="AB31" i="3"/>
  <c r="AI42" i="3"/>
  <c r="AH42" i="3"/>
  <c r="AF20" i="3"/>
  <c r="AH20" i="3" s="1"/>
  <c r="EO20" i="3"/>
  <c r="CC118" i="3"/>
  <c r="FE20" i="3"/>
  <c r="CS118" i="3"/>
  <c r="CS20" i="3"/>
  <c r="CU20" i="3" s="1"/>
  <c r="AG118" i="3"/>
  <c r="FE118" i="3"/>
  <c r="AW20" i="3"/>
  <c r="AY20" i="3" s="1"/>
  <c r="AW118" i="3"/>
  <c r="CC20" i="3"/>
  <c r="CE20" i="3" s="1"/>
  <c r="DI118" i="3"/>
  <c r="DI20" i="3"/>
  <c r="DK20" i="3" s="1"/>
  <c r="DY118" i="3"/>
  <c r="BM118" i="3"/>
  <c r="EO118" i="3"/>
  <c r="K26" i="4"/>
  <c r="O25" i="3"/>
  <c r="M26" i="4" s="1"/>
  <c r="BM20" i="3"/>
  <c r="BO20" i="3" s="1"/>
  <c r="DY20" i="3"/>
  <c r="EA20" i="3" s="1"/>
  <c r="FU20" i="3"/>
  <c r="GK20" i="3"/>
  <c r="HA20" i="3"/>
  <c r="EP30" i="3"/>
  <c r="EN5" i="3"/>
  <c r="EO5" i="3" s="1"/>
  <c r="EP42" i="3"/>
  <c r="EP16" i="3"/>
  <c r="AR21" i="6"/>
  <c r="EP51" i="3"/>
  <c r="FA5" i="3"/>
  <c r="EP71" i="3"/>
  <c r="EP69" i="3"/>
  <c r="EI5" i="3"/>
  <c r="EP62" i="3"/>
  <c r="EP73" i="3"/>
  <c r="EP70" i="3"/>
  <c r="EP68" i="3"/>
  <c r="EI66" i="3"/>
  <c r="EJ85" i="3"/>
  <c r="EM85" i="3" s="1"/>
  <c r="EP50" i="3"/>
  <c r="EP52" i="3"/>
  <c r="BM22" i="3"/>
  <c r="BO22" i="3" s="1"/>
  <c r="GK22" i="3"/>
  <c r="DY120" i="3"/>
  <c r="CS22" i="3"/>
  <c r="CU22" i="3" s="1"/>
  <c r="AG120" i="3"/>
  <c r="FE120" i="3"/>
  <c r="DI22" i="3"/>
  <c r="DK22" i="3" s="1"/>
  <c r="AW120" i="3"/>
  <c r="O27" i="3"/>
  <c r="AW22" i="3"/>
  <c r="AY22" i="3" s="1"/>
  <c r="CC120" i="3"/>
  <c r="CC22" i="3"/>
  <c r="CE22" i="3" s="1"/>
  <c r="CS120" i="3"/>
  <c r="DY22" i="3"/>
  <c r="EA22" i="3" s="1"/>
  <c r="DI120" i="3"/>
  <c r="EO22" i="3"/>
  <c r="EO120" i="3"/>
  <c r="FE22" i="3"/>
  <c r="K29" i="4"/>
  <c r="M29" i="4" s="1"/>
  <c r="FU22" i="3"/>
  <c r="AF22" i="3"/>
  <c r="AH22" i="3" s="1"/>
  <c r="HA22" i="3"/>
  <c r="BM120" i="3"/>
  <c r="N18" i="3" l="1"/>
  <c r="L23" i="4" s="1"/>
  <c r="HA17" i="3"/>
  <c r="EO17" i="3"/>
  <c r="EP17" i="3" s="1"/>
  <c r="EI77" i="3" s="1"/>
  <c r="BM115" i="3"/>
  <c r="AF17" i="3"/>
  <c r="AG17" i="3" s="1"/>
  <c r="CS115" i="3"/>
  <c r="DY17" i="3"/>
  <c r="DZ17" i="3" s="1"/>
  <c r="GK17" i="3"/>
  <c r="AW115" i="3"/>
  <c r="K23" i="4"/>
  <c r="CS17" i="3"/>
  <c r="CT17" i="3" s="1"/>
  <c r="DY115" i="3"/>
  <c r="FE115" i="3"/>
  <c r="BM17" i="3"/>
  <c r="BN17" i="3" s="1"/>
  <c r="AG115" i="3"/>
  <c r="EO115" i="3"/>
  <c r="DI115" i="3"/>
  <c r="AW17" i="3"/>
  <c r="AX17" i="3" s="1"/>
  <c r="AQ77" i="3" s="1"/>
  <c r="DI17" i="3"/>
  <c r="DJ17" i="3" s="1"/>
  <c r="DC77" i="3" s="1"/>
  <c r="CC115" i="3"/>
  <c r="CC17" i="3"/>
  <c r="CD17" i="3" s="1"/>
  <c r="FE17" i="3"/>
  <c r="FF17" i="3" s="1"/>
  <c r="EO14" i="3"/>
  <c r="EP14" i="3" s="1"/>
  <c r="DI112" i="3"/>
  <c r="CS112" i="3"/>
  <c r="FE112" i="3"/>
  <c r="BM14" i="3"/>
  <c r="BN14" i="3" s="1"/>
  <c r="CS14" i="3"/>
  <c r="CT14" i="3" s="1"/>
  <c r="DY14" i="3"/>
  <c r="DZ14" i="3" s="1"/>
  <c r="FE14" i="3"/>
  <c r="L16" i="3"/>
  <c r="AG112" i="3"/>
  <c r="AW112" i="3"/>
  <c r="N15" i="3"/>
  <c r="EO112" i="3"/>
  <c r="AF14" i="3"/>
  <c r="AG14" i="3" s="1"/>
  <c r="CC14" i="3"/>
  <c r="CD14" i="3" s="1"/>
  <c r="BW77" i="3" s="1"/>
  <c r="AW14" i="3"/>
  <c r="AX14" i="3" s="1"/>
  <c r="GK14" i="3"/>
  <c r="J15" i="3"/>
  <c r="FC112" i="3" s="1"/>
  <c r="FU14" i="3"/>
  <c r="CC112" i="3"/>
  <c r="DI14" i="3"/>
  <c r="DJ14" i="3" s="1"/>
  <c r="DY112" i="3"/>
  <c r="HA14" i="3"/>
  <c r="BM112" i="3"/>
  <c r="BM19" i="3"/>
  <c r="BO19" i="3" s="1"/>
  <c r="BI75" i="3" s="1"/>
  <c r="EO117" i="3"/>
  <c r="CS19" i="3"/>
  <c r="CU19" i="3" s="1"/>
  <c r="CO75" i="3" s="1"/>
  <c r="DI19" i="3"/>
  <c r="DK19" i="3" s="1"/>
  <c r="DE75" i="3" s="1"/>
  <c r="J24" i="3"/>
  <c r="GK19" i="3"/>
  <c r="HA19" i="3"/>
  <c r="AG117" i="3"/>
  <c r="EO19" i="3"/>
  <c r="CS117" i="3"/>
  <c r="FE117" i="3"/>
  <c r="AW117" i="3"/>
  <c r="BM117" i="3"/>
  <c r="O24" i="3"/>
  <c r="H84" i="3" s="1"/>
  <c r="FU19" i="3"/>
  <c r="K25" i="4"/>
  <c r="M25" i="4" s="1"/>
  <c r="L25" i="3"/>
  <c r="FE19" i="3"/>
  <c r="DI117" i="3"/>
  <c r="CC19" i="3"/>
  <c r="CE19" i="3" s="1"/>
  <c r="BY75" i="3" s="1"/>
  <c r="AW19" i="3"/>
  <c r="AY19" i="3" s="1"/>
  <c r="AS75" i="3" s="1"/>
  <c r="DY19" i="3"/>
  <c r="EA19" i="3" s="1"/>
  <c r="DU75" i="3" s="1"/>
  <c r="AF19" i="3"/>
  <c r="AH19" i="3" s="1"/>
  <c r="AB75" i="3" s="1"/>
  <c r="DY117" i="3"/>
  <c r="CC117" i="3"/>
  <c r="DY8" i="3"/>
  <c r="DX95" i="3" s="1"/>
  <c r="DS76" i="3"/>
  <c r="CC21" i="3"/>
  <c r="CE21" i="3" s="1"/>
  <c r="BY77" i="3" s="1"/>
  <c r="HA21" i="3"/>
  <c r="DI119" i="3"/>
  <c r="K28" i="4"/>
  <c r="M28" i="4" s="1"/>
  <c r="DY21" i="3"/>
  <c r="EA21" i="3" s="1"/>
  <c r="DU77" i="3" s="1"/>
  <c r="AG119" i="3"/>
  <c r="FE119" i="3"/>
  <c r="EO21" i="3"/>
  <c r="EQ21" i="3" s="1"/>
  <c r="CC119" i="3"/>
  <c r="FE21" i="3"/>
  <c r="CS119" i="3"/>
  <c r="FU21" i="3"/>
  <c r="DY119" i="3"/>
  <c r="AF21" i="3"/>
  <c r="AH21" i="3" s="1"/>
  <c r="AB77" i="3" s="1"/>
  <c r="GK21" i="3"/>
  <c r="EO119" i="3"/>
  <c r="AW21" i="3"/>
  <c r="AY21" i="3" s="1"/>
  <c r="AS77" i="3" s="1"/>
  <c r="L27" i="3"/>
  <c r="O26" i="3"/>
  <c r="H86" i="3" s="1"/>
  <c r="BM21" i="3"/>
  <c r="BO21" i="3" s="1"/>
  <c r="BI77" i="3" s="1"/>
  <c r="J26" i="3"/>
  <c r="BM119" i="3"/>
  <c r="CS21" i="3"/>
  <c r="CU21" i="3" s="1"/>
  <c r="CO77" i="3" s="1"/>
  <c r="DI21" i="3"/>
  <c r="DK21" i="3" s="1"/>
  <c r="DE77" i="3" s="1"/>
  <c r="AW119" i="3"/>
  <c r="DJ31" i="3"/>
  <c r="DL31" i="3"/>
  <c r="DK31" i="3"/>
  <c r="ER68" i="3"/>
  <c r="ER69" i="3"/>
  <c r="EJ89" i="3"/>
  <c r="EM89" i="3" s="1"/>
  <c r="ER73" i="3"/>
  <c r="FA7" i="3"/>
  <c r="ER30" i="3"/>
  <c r="ER51" i="3"/>
  <c r="EN7" i="3"/>
  <c r="EO7" i="3" s="1"/>
  <c r="ER62" i="3"/>
  <c r="ER42" i="3"/>
  <c r="ER71" i="3"/>
  <c r="EM66" i="3"/>
  <c r="ER70" i="3"/>
  <c r="ER50" i="3"/>
  <c r="ER52" i="3"/>
  <c r="ER31" i="3"/>
  <c r="ER77" i="3"/>
  <c r="ER78" i="3" s="1"/>
  <c r="F85" i="3"/>
  <c r="F83" i="3"/>
  <c r="AX31" i="3"/>
  <c r="AZ31" i="3"/>
  <c r="AY31" i="3"/>
  <c r="DY56" i="3"/>
  <c r="EA31" i="3"/>
  <c r="DU76" i="3" s="1"/>
  <c r="EY5" i="3"/>
  <c r="FF30" i="3"/>
  <c r="FF69" i="3"/>
  <c r="FF51" i="3"/>
  <c r="AR22" i="6"/>
  <c r="FF16" i="3"/>
  <c r="FF42" i="3"/>
  <c r="FF73" i="3"/>
  <c r="FQ5" i="3"/>
  <c r="FF13" i="3"/>
  <c r="FF68" i="3"/>
  <c r="FF15" i="3"/>
  <c r="FF50" i="3"/>
  <c r="FF31" i="3"/>
  <c r="FF52" i="3"/>
  <c r="FF71" i="3"/>
  <c r="FF70" i="3"/>
  <c r="FF62" i="3"/>
  <c r="FF14" i="3"/>
  <c r="EZ85" i="3"/>
  <c r="FC85" i="3" s="1"/>
  <c r="FD5" i="3"/>
  <c r="FE5" i="3" s="1"/>
  <c r="EY66" i="3"/>
  <c r="EI76" i="3"/>
  <c r="EI74" i="3"/>
  <c r="CT31" i="3"/>
  <c r="CU31" i="3"/>
  <c r="CV31" i="3"/>
  <c r="H83" i="3"/>
  <c r="H85" i="3"/>
  <c r="EB31" i="3"/>
  <c r="DU56" i="3"/>
  <c r="DU55" i="3"/>
  <c r="DU54" i="3"/>
  <c r="EI56" i="3"/>
  <c r="EI65" i="3"/>
  <c r="EI54" i="3"/>
  <c r="EI55" i="3"/>
  <c r="CD31" i="3"/>
  <c r="CE31" i="3"/>
  <c r="CF31" i="3"/>
  <c r="DI12" i="3"/>
  <c r="DJ12" i="3" s="1"/>
  <c r="AG110" i="3"/>
  <c r="FE110" i="3"/>
  <c r="J13" i="3"/>
  <c r="FE12" i="3"/>
  <c r="FF12" i="3" s="1"/>
  <c r="CC110" i="3"/>
  <c r="CC12" i="3"/>
  <c r="CD12" i="3" s="1"/>
  <c r="AW110" i="3"/>
  <c r="CS12" i="3"/>
  <c r="CT12" i="3" s="1"/>
  <c r="BM110" i="3"/>
  <c r="DY12" i="3"/>
  <c r="DZ12" i="3" s="1"/>
  <c r="CS110" i="3"/>
  <c r="EO12" i="3"/>
  <c r="EP12" i="3" s="1"/>
  <c r="DI110" i="3"/>
  <c r="AF12" i="3"/>
  <c r="AG12" i="3" s="1"/>
  <c r="FU12" i="3"/>
  <c r="DY110" i="3"/>
  <c r="GK12" i="3"/>
  <c r="EO110" i="3"/>
  <c r="AW12" i="3"/>
  <c r="AX12" i="3" s="1"/>
  <c r="BM12" i="3"/>
  <c r="BN12" i="3" s="1"/>
  <c r="HA12" i="3"/>
  <c r="L14" i="3"/>
  <c r="N13" i="3"/>
  <c r="EQ23" i="3"/>
  <c r="EQ30" i="3"/>
  <c r="EQ52" i="3"/>
  <c r="EQ73" i="3"/>
  <c r="EQ50" i="3"/>
  <c r="EN6" i="3"/>
  <c r="EO6" i="3" s="1"/>
  <c r="EQ31" i="3"/>
  <c r="EJ87" i="3"/>
  <c r="EM87" i="3" s="1"/>
  <c r="EQ19" i="3"/>
  <c r="EQ68" i="3"/>
  <c r="FA6" i="3"/>
  <c r="EQ20" i="3"/>
  <c r="EQ71" i="3"/>
  <c r="EQ62" i="3"/>
  <c r="EQ42" i="3"/>
  <c r="EQ22" i="3"/>
  <c r="EI6" i="3"/>
  <c r="EI8" i="3" s="1"/>
  <c r="EK65" i="3" s="1"/>
  <c r="EQ69" i="3"/>
  <c r="EQ70" i="3"/>
  <c r="EQ51" i="3"/>
  <c r="EK66" i="3"/>
  <c r="BN31" i="3"/>
  <c r="BO31" i="3"/>
  <c r="BP31" i="3"/>
  <c r="EB89" i="3"/>
  <c r="DY55" i="3"/>
  <c r="I19" i="4"/>
  <c r="K19" i="4" s="1"/>
  <c r="L19" i="4" s="1"/>
  <c r="CQ112" i="3"/>
  <c r="FC14" i="3"/>
  <c r="AH31" i="3"/>
  <c r="AI31" i="3"/>
  <c r="AG31" i="3"/>
  <c r="AQ75" i="3" l="1"/>
  <c r="BW75" i="3"/>
  <c r="Z75" i="3"/>
  <c r="EO8" i="3"/>
  <c r="EN95" i="3" s="1"/>
  <c r="EO55" i="3"/>
  <c r="DS75" i="3"/>
  <c r="DZ76" i="3" s="1"/>
  <c r="DZ77" i="3" s="1"/>
  <c r="DS77" i="3"/>
  <c r="EI75" i="3"/>
  <c r="EP76" i="3" s="1"/>
  <c r="EP77" i="3" s="1"/>
  <c r="Z77" i="3"/>
  <c r="CM77" i="3"/>
  <c r="CM75" i="3"/>
  <c r="DC75" i="3"/>
  <c r="F84" i="3"/>
  <c r="N85" i="3" s="1"/>
  <c r="BG75" i="3"/>
  <c r="BG77" i="3"/>
  <c r="F86" i="3"/>
  <c r="N88" i="3" s="1"/>
  <c r="L86" i="4" s="1"/>
  <c r="EA79" i="3"/>
  <c r="EA80" i="3" s="1"/>
  <c r="EA81" i="3" s="1"/>
  <c r="O88" i="3"/>
  <c r="O89" i="3" s="1"/>
  <c r="BK14" i="3"/>
  <c r="AU112" i="3"/>
  <c r="AU14" i="3"/>
  <c r="CA14" i="3"/>
  <c r="CQ14" i="3"/>
  <c r="DW112" i="3"/>
  <c r="FS14" i="3"/>
  <c r="DW14" i="3"/>
  <c r="GY14" i="3"/>
  <c r="CA112" i="3"/>
  <c r="AE112" i="3"/>
  <c r="AD14" i="3"/>
  <c r="BK112" i="3"/>
  <c r="GI14" i="3"/>
  <c r="DG112" i="3"/>
  <c r="DG14" i="3"/>
  <c r="EM112" i="3"/>
  <c r="EM14" i="3"/>
  <c r="AU117" i="3"/>
  <c r="FC117" i="3"/>
  <c r="CA117" i="3"/>
  <c r="AD19" i="3"/>
  <c r="AU19" i="3"/>
  <c r="DW19" i="3"/>
  <c r="FC19" i="3"/>
  <c r="GY19" i="3"/>
  <c r="EM19" i="3"/>
  <c r="CQ117" i="3"/>
  <c r="BK19" i="3"/>
  <c r="DG117" i="3"/>
  <c r="FS19" i="3"/>
  <c r="AE117" i="3"/>
  <c r="DW117" i="3"/>
  <c r="EM117" i="3"/>
  <c r="CA19" i="3"/>
  <c r="I25" i="4"/>
  <c r="BK117" i="3"/>
  <c r="DG19" i="3"/>
  <c r="GI19" i="3"/>
  <c r="CQ19" i="3"/>
  <c r="EK77" i="3"/>
  <c r="EO56" i="3"/>
  <c r="DU74" i="3"/>
  <c r="EA76" i="3" s="1"/>
  <c r="EA77" i="3" s="1"/>
  <c r="EA78" i="3" s="1"/>
  <c r="ER89" i="3"/>
  <c r="DZ79" i="3"/>
  <c r="DZ80" i="3" s="1"/>
  <c r="DZ81" i="3" s="1"/>
  <c r="AB74" i="3"/>
  <c r="AH76" i="3" s="1"/>
  <c r="AH77" i="3" s="1"/>
  <c r="AB76" i="3"/>
  <c r="AH79" i="3" s="1"/>
  <c r="AH80" i="3" s="1"/>
  <c r="EP79" i="3"/>
  <c r="EP80" i="3" s="1"/>
  <c r="EY76" i="3"/>
  <c r="EY74" i="3"/>
  <c r="DE76" i="3"/>
  <c r="DK79" i="3" s="1"/>
  <c r="DK80" i="3" s="1"/>
  <c r="DE74" i="3"/>
  <c r="DK76" i="3" s="1"/>
  <c r="DK77" i="3" s="1"/>
  <c r="BY74" i="3"/>
  <c r="CE76" i="3" s="1"/>
  <c r="CE77" i="3" s="1"/>
  <c r="BY76" i="3"/>
  <c r="CE79" i="3" s="1"/>
  <c r="CE80" i="3" s="1"/>
  <c r="EY56" i="3"/>
  <c r="EY55" i="3"/>
  <c r="EY65" i="3"/>
  <c r="EY54" i="3"/>
  <c r="AS76" i="3"/>
  <c r="AY79" i="3" s="1"/>
  <c r="AY80" i="3" s="1"/>
  <c r="AS74" i="3"/>
  <c r="AY76" i="3" s="1"/>
  <c r="AY77" i="3" s="1"/>
  <c r="BW74" i="3"/>
  <c r="BW76" i="3"/>
  <c r="CD79" i="3" s="1"/>
  <c r="CD80" i="3" s="1"/>
  <c r="EO54" i="3"/>
  <c r="FH69" i="3"/>
  <c r="FH31" i="3"/>
  <c r="FQ7" i="3"/>
  <c r="FH73" i="3"/>
  <c r="FH51" i="3"/>
  <c r="FH68" i="3"/>
  <c r="EZ89" i="3"/>
  <c r="FC89" i="3" s="1"/>
  <c r="FD7" i="3"/>
  <c r="FE7" i="3" s="1"/>
  <c r="FH70" i="3"/>
  <c r="FC66" i="3"/>
  <c r="FH42" i="3"/>
  <c r="FH62" i="3"/>
  <c r="FH50" i="3"/>
  <c r="FH52" i="3"/>
  <c r="FH30" i="3"/>
  <c r="FH71" i="3"/>
  <c r="FH77" i="3"/>
  <c r="FH78" i="3" s="1"/>
  <c r="DC76" i="3"/>
  <c r="DJ79" i="3" s="1"/>
  <c r="DJ80" i="3" s="1"/>
  <c r="DC74" i="3"/>
  <c r="DJ76" i="3" s="1"/>
  <c r="CQ21" i="3"/>
  <c r="AE119" i="3"/>
  <c r="FC119" i="3"/>
  <c r="I28" i="4"/>
  <c r="EM21" i="3"/>
  <c r="CA119" i="3"/>
  <c r="BK21" i="3"/>
  <c r="AU119" i="3"/>
  <c r="CA21" i="3"/>
  <c r="BK119" i="3"/>
  <c r="DG21" i="3"/>
  <c r="CQ119" i="3"/>
  <c r="DW21" i="3"/>
  <c r="DG119" i="3"/>
  <c r="FC21" i="3"/>
  <c r="DW119" i="3"/>
  <c r="FS21" i="3"/>
  <c r="EM119" i="3"/>
  <c r="AD21" i="3"/>
  <c r="AU21" i="3"/>
  <c r="GI21" i="3"/>
  <c r="GY21" i="3"/>
  <c r="FG71" i="3"/>
  <c r="FG50" i="3"/>
  <c r="FG23" i="3"/>
  <c r="FG20" i="3"/>
  <c r="FG30" i="3"/>
  <c r="FG21" i="3"/>
  <c r="FG70" i="3"/>
  <c r="FG73" i="3"/>
  <c r="FG68" i="3"/>
  <c r="FG31" i="3"/>
  <c r="FG22" i="3"/>
  <c r="FG69" i="3"/>
  <c r="FG19" i="3"/>
  <c r="EZ87" i="3"/>
  <c r="FC87" i="3" s="1"/>
  <c r="FQ6" i="3"/>
  <c r="FQ8" i="3" s="1"/>
  <c r="FW93" i="3" s="1"/>
  <c r="FD6" i="3"/>
  <c r="FE6" i="3" s="1"/>
  <c r="FE8" i="3" s="1"/>
  <c r="FD95" i="3" s="1"/>
  <c r="FG52" i="3"/>
  <c r="FG62" i="3"/>
  <c r="FG51" i="3"/>
  <c r="EY6" i="3"/>
  <c r="FE56" i="3" s="1"/>
  <c r="FG42" i="3"/>
  <c r="FA66" i="3"/>
  <c r="O85" i="3"/>
  <c r="AQ74" i="3"/>
  <c r="AQ76" i="3"/>
  <c r="AX79" i="3" s="1"/>
  <c r="AX80" i="3" s="1"/>
  <c r="EY77" i="3"/>
  <c r="EY75" i="3"/>
  <c r="BI76" i="3"/>
  <c r="BO79" i="3" s="1"/>
  <c r="BO80" i="3" s="1"/>
  <c r="BI74" i="3"/>
  <c r="BO76" i="3" s="1"/>
  <c r="BO77" i="3" s="1"/>
  <c r="EK55" i="3"/>
  <c r="EK56" i="3"/>
  <c r="EK54" i="3"/>
  <c r="EK75" i="3"/>
  <c r="EK74" i="3"/>
  <c r="EK76" i="3"/>
  <c r="CO74" i="3"/>
  <c r="CU76" i="3" s="1"/>
  <c r="CU77" i="3" s="1"/>
  <c r="CO76" i="3"/>
  <c r="CU79" i="3" s="1"/>
  <c r="CU80" i="3" s="1"/>
  <c r="FA8" i="3"/>
  <c r="FG93" i="3" s="1"/>
  <c r="GG5" i="3"/>
  <c r="FO5" i="3"/>
  <c r="FV15" i="3"/>
  <c r="FV73" i="3"/>
  <c r="FP85" i="3"/>
  <c r="FS85" i="3" s="1"/>
  <c r="FV30" i="3"/>
  <c r="FV17" i="3"/>
  <c r="FV69" i="3"/>
  <c r="FV52" i="3"/>
  <c r="FV12" i="3"/>
  <c r="FV62" i="3"/>
  <c r="FO66" i="3"/>
  <c r="FV14" i="3"/>
  <c r="FV51" i="3"/>
  <c r="FT5" i="3"/>
  <c r="FU5" i="3" s="1"/>
  <c r="FV70" i="3"/>
  <c r="FV71" i="3"/>
  <c r="FV42" i="3"/>
  <c r="FV50" i="3"/>
  <c r="FV31" i="3"/>
  <c r="FV68" i="3"/>
  <c r="AR23" i="6"/>
  <c r="FV16" i="3"/>
  <c r="FV13" i="3"/>
  <c r="DG12" i="3"/>
  <c r="AE110" i="3"/>
  <c r="FC110" i="3"/>
  <c r="AU12" i="3"/>
  <c r="GI12" i="3"/>
  <c r="DW110" i="3"/>
  <c r="BK12" i="3"/>
  <c r="GY12" i="3"/>
  <c r="EM110" i="3"/>
  <c r="CA12" i="3"/>
  <c r="AD12" i="3"/>
  <c r="CQ12" i="3"/>
  <c r="AU110" i="3"/>
  <c r="DW12" i="3"/>
  <c r="BK110" i="3"/>
  <c r="EM12" i="3"/>
  <c r="CA110" i="3"/>
  <c r="FC12" i="3"/>
  <c r="FS12" i="3"/>
  <c r="CQ110" i="3"/>
  <c r="DG110" i="3"/>
  <c r="I16" i="4"/>
  <c r="K16" i="4" s="1"/>
  <c r="L16" i="4" s="1"/>
  <c r="Z76" i="3"/>
  <c r="Z74" i="3"/>
  <c r="BG76" i="3"/>
  <c r="BG74" i="3"/>
  <c r="CM74" i="3"/>
  <c r="CM76" i="3"/>
  <c r="AX76" i="3" l="1"/>
  <c r="AX77" i="3" s="1"/>
  <c r="AG76" i="3"/>
  <c r="AG77" i="3" s="1"/>
  <c r="CD76" i="3"/>
  <c r="CD91" i="3" s="1"/>
  <c r="CT79" i="3"/>
  <c r="CT80" i="3" s="1"/>
  <c r="CT81" i="3" s="1"/>
  <c r="EY8" i="3"/>
  <c r="FA65" i="3" s="1"/>
  <c r="AG79" i="3"/>
  <c r="AG80" i="3" s="1"/>
  <c r="AG81" i="3" s="1"/>
  <c r="BN76" i="3"/>
  <c r="BN77" i="3" s="1"/>
  <c r="CT76" i="3"/>
  <c r="CT77" i="3" s="1"/>
  <c r="BN79" i="3"/>
  <c r="BN80" i="3" s="1"/>
  <c r="BN81" i="3" s="1"/>
  <c r="FO75" i="3"/>
  <c r="N89" i="3"/>
  <c r="L87" i="4" s="1"/>
  <c r="L88" i="4" s="1"/>
  <c r="EQ79" i="3"/>
  <c r="EQ80" i="3" s="1"/>
  <c r="EQ81" i="3" s="1"/>
  <c r="EA88" i="3"/>
  <c r="M86" i="4"/>
  <c r="FA77" i="3"/>
  <c r="FA75" i="3"/>
  <c r="FE54" i="3"/>
  <c r="EA87" i="3"/>
  <c r="DZ86" i="3"/>
  <c r="DZ91" i="3"/>
  <c r="AV20" i="6" s="1"/>
  <c r="EQ76" i="3"/>
  <c r="EQ77" i="3" s="1"/>
  <c r="EQ78" i="3" s="1"/>
  <c r="BO78" i="3"/>
  <c r="BO87" i="3"/>
  <c r="BO81" i="3"/>
  <c r="BO88" i="3"/>
  <c r="FX71" i="3"/>
  <c r="FX62" i="3"/>
  <c r="FX77" i="3"/>
  <c r="FX78" i="3" s="1"/>
  <c r="FX69" i="3"/>
  <c r="FX50" i="3"/>
  <c r="FX51" i="3"/>
  <c r="FX70" i="3"/>
  <c r="FT7" i="3"/>
  <c r="FU7" i="3" s="1"/>
  <c r="FX31" i="3"/>
  <c r="GG7" i="3"/>
  <c r="FX68" i="3"/>
  <c r="FX52" i="3"/>
  <c r="FS66" i="3"/>
  <c r="FX73" i="3"/>
  <c r="FX30" i="3"/>
  <c r="FP89" i="3"/>
  <c r="FS89" i="3" s="1"/>
  <c r="FX42" i="3"/>
  <c r="CD77" i="3"/>
  <c r="EP78" i="3"/>
  <c r="EP85" i="3"/>
  <c r="CU78" i="3"/>
  <c r="CU87" i="3"/>
  <c r="AY78" i="3"/>
  <c r="AY87" i="3"/>
  <c r="FF76" i="3"/>
  <c r="CD81" i="3"/>
  <c r="CD86" i="3"/>
  <c r="DZ78" i="3"/>
  <c r="DZ92" i="3" s="1"/>
  <c r="DZ85" i="3"/>
  <c r="FW52" i="3"/>
  <c r="FW51" i="3"/>
  <c r="FW22" i="3"/>
  <c r="GG6" i="3"/>
  <c r="FP87" i="3"/>
  <c r="FS87" i="3" s="1"/>
  <c r="FW20" i="3"/>
  <c r="FW73" i="3"/>
  <c r="FW30" i="3"/>
  <c r="FW23" i="3"/>
  <c r="FW50" i="3"/>
  <c r="FW21" i="3"/>
  <c r="FT6" i="3"/>
  <c r="FU6" i="3" s="1"/>
  <c r="FW70" i="3"/>
  <c r="FO6" i="3"/>
  <c r="FU56" i="3" s="1"/>
  <c r="FW62" i="3"/>
  <c r="FW71" i="3"/>
  <c r="FW19" i="3"/>
  <c r="FW42" i="3"/>
  <c r="FW68" i="3"/>
  <c r="FW31" i="3"/>
  <c r="FW69" i="3"/>
  <c r="FQ66" i="3"/>
  <c r="FO55" i="3"/>
  <c r="FO65" i="3"/>
  <c r="FO54" i="3"/>
  <c r="FO56" i="3"/>
  <c r="FA74" i="3"/>
  <c r="FA76" i="3"/>
  <c r="AY81" i="3"/>
  <c r="AY88" i="3"/>
  <c r="FF79" i="3"/>
  <c r="FF80" i="3" s="1"/>
  <c r="GL50" i="3"/>
  <c r="GL62" i="3"/>
  <c r="GL12" i="3"/>
  <c r="GL52" i="3"/>
  <c r="GJ5" i="3"/>
  <c r="GK5" i="3" s="1"/>
  <c r="GL70" i="3"/>
  <c r="GL14" i="3"/>
  <c r="AR24" i="6"/>
  <c r="GL30" i="3"/>
  <c r="GE66" i="3"/>
  <c r="GW5" i="3"/>
  <c r="GL68" i="3"/>
  <c r="GL42" i="3"/>
  <c r="GL31" i="3"/>
  <c r="GF85" i="3"/>
  <c r="GI85" i="3" s="1"/>
  <c r="GL16" i="3"/>
  <c r="GL13" i="3"/>
  <c r="GL73" i="3"/>
  <c r="GL51" i="3"/>
  <c r="GL15" i="3"/>
  <c r="GL69" i="3"/>
  <c r="GL71" i="3"/>
  <c r="GL17" i="3"/>
  <c r="GG8" i="3"/>
  <c r="GM93" i="3" s="1"/>
  <c r="GE5" i="3"/>
  <c r="FA54" i="3"/>
  <c r="FA56" i="3"/>
  <c r="FA55" i="3"/>
  <c r="CE81" i="3"/>
  <c r="CE88" i="3"/>
  <c r="EP81" i="3"/>
  <c r="EP86" i="3"/>
  <c r="M83" i="4"/>
  <c r="O86" i="3"/>
  <c r="CE78" i="3"/>
  <c r="CE87" i="3"/>
  <c r="M87" i="4"/>
  <c r="M88" i="4" s="1"/>
  <c r="O90" i="3"/>
  <c r="DK78" i="3"/>
  <c r="DK87" i="3"/>
  <c r="AH78" i="3"/>
  <c r="AH87" i="3"/>
  <c r="CU81" i="3"/>
  <c r="CU88" i="3"/>
  <c r="DJ77" i="3"/>
  <c r="DJ91" i="3"/>
  <c r="DJ81" i="3"/>
  <c r="DJ86" i="3"/>
  <c r="N86" i="3"/>
  <c r="L83" i="4"/>
  <c r="AX81" i="3"/>
  <c r="AX86" i="3"/>
  <c r="FH89" i="3"/>
  <c r="AH88" i="3"/>
  <c r="AH81" i="3"/>
  <c r="FO77" i="3"/>
  <c r="FO76" i="3"/>
  <c r="FO74" i="3"/>
  <c r="FE55" i="3"/>
  <c r="DK81" i="3"/>
  <c r="DK88" i="3"/>
  <c r="AX91" i="3" l="1"/>
  <c r="CT86" i="3"/>
  <c r="FU8" i="3"/>
  <c r="FT95" i="3" s="1"/>
  <c r="FU54" i="3"/>
  <c r="AG91" i="3"/>
  <c r="AG90" i="3" s="1"/>
  <c r="AG86" i="3"/>
  <c r="FU55" i="3"/>
  <c r="FO8" i="3"/>
  <c r="FQ65" i="3" s="1"/>
  <c r="CT91" i="3"/>
  <c r="CT90" i="3" s="1"/>
  <c r="BN91" i="3"/>
  <c r="AV16" i="6" s="1"/>
  <c r="BN86" i="3"/>
  <c r="FG79" i="3"/>
  <c r="FG80" i="3" s="1"/>
  <c r="FG81" i="3" s="1"/>
  <c r="EQ88" i="3"/>
  <c r="FV76" i="3"/>
  <c r="FV77" i="3" s="1"/>
  <c r="N90" i="3"/>
  <c r="FQ77" i="3"/>
  <c r="FG76" i="3"/>
  <c r="FG77" i="3" s="1"/>
  <c r="FG78" i="3" s="1"/>
  <c r="EQ87" i="3"/>
  <c r="DZ90" i="3"/>
  <c r="AT20" i="6" s="1"/>
  <c r="EP91" i="3"/>
  <c r="FV79" i="3"/>
  <c r="FV80" i="3" s="1"/>
  <c r="FV81" i="3" s="1"/>
  <c r="DJ78" i="3"/>
  <c r="DJ92" i="3" s="1"/>
  <c r="DJ85" i="3"/>
  <c r="GE77" i="3"/>
  <c r="GW6" i="3"/>
  <c r="GM22" i="3"/>
  <c r="GM71" i="3"/>
  <c r="GM69" i="3"/>
  <c r="GJ6" i="3"/>
  <c r="GK6" i="3" s="1"/>
  <c r="GM31" i="3"/>
  <c r="GM50" i="3"/>
  <c r="GM21" i="3"/>
  <c r="GM62" i="3"/>
  <c r="GM70" i="3"/>
  <c r="GM73" i="3"/>
  <c r="GM20" i="3"/>
  <c r="GM51" i="3"/>
  <c r="GF87" i="3"/>
  <c r="GI87" i="3" s="1"/>
  <c r="GM23" i="3"/>
  <c r="GM19" i="3"/>
  <c r="GM30" i="3"/>
  <c r="GM52" i="3"/>
  <c r="GM42" i="3"/>
  <c r="GE6" i="3"/>
  <c r="GK56" i="3" s="1"/>
  <c r="GM68" i="3"/>
  <c r="GG66" i="3"/>
  <c r="FF77" i="3"/>
  <c r="CD78" i="3"/>
  <c r="CD92" i="3" s="1"/>
  <c r="CD85" i="3"/>
  <c r="GN30" i="3"/>
  <c r="GN52" i="3"/>
  <c r="GJ7" i="3"/>
  <c r="GK7" i="3" s="1"/>
  <c r="GI66" i="3"/>
  <c r="GN50" i="3"/>
  <c r="GN70" i="3"/>
  <c r="GN68" i="3"/>
  <c r="GN62" i="3"/>
  <c r="GN71" i="3"/>
  <c r="GN31" i="3"/>
  <c r="GF89" i="3"/>
  <c r="GI89" i="3" s="1"/>
  <c r="GN42" i="3"/>
  <c r="GN73" i="3"/>
  <c r="GN51" i="3"/>
  <c r="GN69" i="3"/>
  <c r="GW7" i="3"/>
  <c r="GW8" i="3" s="1"/>
  <c r="HC93" i="3" s="1"/>
  <c r="GN77" i="3"/>
  <c r="GN78" i="3" s="1"/>
  <c r="AX90" i="3"/>
  <c r="AV15" i="6"/>
  <c r="FF81" i="3"/>
  <c r="FF86" i="3"/>
  <c r="BN78" i="3"/>
  <c r="BN92" i="3" s="1"/>
  <c r="BN85" i="3"/>
  <c r="AG78" i="3"/>
  <c r="AG92" i="3" s="1"/>
  <c r="AG85" i="3"/>
  <c r="FX89" i="3"/>
  <c r="AX78" i="3"/>
  <c r="AX92" i="3" s="1"/>
  <c r="AX85" i="3"/>
  <c r="L90" i="4"/>
  <c r="M84" i="4"/>
  <c r="M85" i="4" s="1"/>
  <c r="O87" i="3"/>
  <c r="FQ75" i="3"/>
  <c r="L84" i="4"/>
  <c r="L85" i="4" s="1"/>
  <c r="N87" i="3"/>
  <c r="CT78" i="3"/>
  <c r="CT92" i="3" s="1"/>
  <c r="CT85" i="3"/>
  <c r="GV85" i="3"/>
  <c r="GY85" i="3" s="1"/>
  <c r="HB50" i="3"/>
  <c r="HB17" i="3"/>
  <c r="HB68" i="3"/>
  <c r="HB51" i="3"/>
  <c r="GZ5" i="3"/>
  <c r="HA5" i="3" s="1"/>
  <c r="HB69" i="3"/>
  <c r="AC103" i="3"/>
  <c r="HB71" i="3"/>
  <c r="HB73" i="3"/>
  <c r="HB30" i="3"/>
  <c r="HB70" i="3"/>
  <c r="HB62" i="3"/>
  <c r="HB42" i="3"/>
  <c r="HB31" i="3"/>
  <c r="HB52" i="3"/>
  <c r="GU66" i="3"/>
  <c r="HB12" i="3"/>
  <c r="HB16" i="3"/>
  <c r="HB13" i="3"/>
  <c r="AR25" i="6"/>
  <c r="GU5" i="3"/>
  <c r="HB15" i="3"/>
  <c r="HB14" i="3"/>
  <c r="GE75" i="3"/>
  <c r="FQ74" i="3"/>
  <c r="FQ76" i="3"/>
  <c r="DJ90" i="3"/>
  <c r="AV19" i="6"/>
  <c r="AV17" i="6"/>
  <c r="CD90" i="3"/>
  <c r="DZ95" i="3"/>
  <c r="AX20" i="6" s="1"/>
  <c r="AS20" i="6"/>
  <c r="GE54" i="3"/>
  <c r="GE65" i="3"/>
  <c r="GE55" i="3"/>
  <c r="GE56" i="3"/>
  <c r="GE76" i="3"/>
  <c r="GE74" i="3"/>
  <c r="FQ55" i="3"/>
  <c r="FQ54" i="3"/>
  <c r="FQ56" i="3"/>
  <c r="EP92" i="3"/>
  <c r="GK54" i="3" l="1"/>
  <c r="GK55" i="3"/>
  <c r="AV14" i="6"/>
  <c r="GE8" i="3"/>
  <c r="GG65" i="3" s="1"/>
  <c r="AV18" i="6"/>
  <c r="BN90" i="3"/>
  <c r="BN94" i="3" s="1"/>
  <c r="AW16" i="6" s="1"/>
  <c r="FG88" i="3"/>
  <c r="FW79" i="3"/>
  <c r="FW80" i="3" s="1"/>
  <c r="FW81" i="3" s="1"/>
  <c r="GL79" i="3"/>
  <c r="GL80" i="3" s="1"/>
  <c r="GL81" i="3" s="1"/>
  <c r="FG87" i="3"/>
  <c r="GG75" i="3"/>
  <c r="FW76" i="3"/>
  <c r="FW77" i="3" s="1"/>
  <c r="FW78" i="3" s="1"/>
  <c r="FF91" i="3"/>
  <c r="AV22" i="6" s="1"/>
  <c r="GK8" i="3"/>
  <c r="GJ95" i="3" s="1"/>
  <c r="DZ94" i="3"/>
  <c r="AW20" i="6" s="1"/>
  <c r="GN89" i="3"/>
  <c r="AV21" i="6"/>
  <c r="EP90" i="3"/>
  <c r="FV86" i="3"/>
  <c r="GL76" i="3"/>
  <c r="GL77" i="3" s="1"/>
  <c r="AS17" i="6"/>
  <c r="CD95" i="3"/>
  <c r="AX17" i="6" s="1"/>
  <c r="GG76" i="3"/>
  <c r="GG74" i="3"/>
  <c r="HC70" i="3"/>
  <c r="HC71" i="3"/>
  <c r="HC73" i="3"/>
  <c r="GV87" i="3"/>
  <c r="GY87" i="3" s="1"/>
  <c r="HC52" i="3"/>
  <c r="HC21" i="3"/>
  <c r="HC22" i="3"/>
  <c r="HC62" i="3"/>
  <c r="GZ6" i="3"/>
  <c r="HA6" i="3" s="1"/>
  <c r="HC23" i="3"/>
  <c r="HC42" i="3"/>
  <c r="HC68" i="3"/>
  <c r="HC20" i="3"/>
  <c r="HC51" i="3"/>
  <c r="HC69" i="3"/>
  <c r="HC31" i="3"/>
  <c r="GU6" i="3"/>
  <c r="HA54" i="3" s="1"/>
  <c r="AC104" i="3"/>
  <c r="HC19" i="3"/>
  <c r="HC30" i="3"/>
  <c r="HC50" i="3"/>
  <c r="GW66" i="3"/>
  <c r="EP95" i="3"/>
  <c r="AX21" i="6" s="1"/>
  <c r="AS21" i="6"/>
  <c r="L91" i="4"/>
  <c r="AT18" i="6"/>
  <c r="CT94" i="3"/>
  <c r="AW18" i="6" s="1"/>
  <c r="BN95" i="3"/>
  <c r="AX16" i="6" s="1"/>
  <c r="AS16" i="6"/>
  <c r="FF78" i="3"/>
  <c r="FF92" i="3" s="1"/>
  <c r="FF85" i="3"/>
  <c r="GG77" i="3"/>
  <c r="HD31" i="3"/>
  <c r="GV89" i="3"/>
  <c r="GY89" i="3" s="1"/>
  <c r="HD69" i="3"/>
  <c r="HD62" i="3"/>
  <c r="HD70" i="3"/>
  <c r="HD50" i="3"/>
  <c r="HD68" i="3"/>
  <c r="HD71" i="3"/>
  <c r="AC105" i="3"/>
  <c r="AC106" i="3" s="1"/>
  <c r="AI191" i="3" s="1"/>
  <c r="HD73" i="3"/>
  <c r="GY66" i="3"/>
  <c r="HD30" i="3"/>
  <c r="HD51" i="3"/>
  <c r="HD42" i="3"/>
  <c r="HD52" i="3"/>
  <c r="GZ7" i="3"/>
  <c r="HA7" i="3" s="1"/>
  <c r="HD77" i="3"/>
  <c r="HD78" i="3" s="1"/>
  <c r="FV78" i="3"/>
  <c r="FV85" i="3"/>
  <c r="GU75" i="3"/>
  <c r="M92" i="3"/>
  <c r="L89" i="4"/>
  <c r="GU55" i="3"/>
  <c r="GU65" i="3"/>
  <c r="GU54" i="3"/>
  <c r="GU56" i="3"/>
  <c r="GU8" i="3"/>
  <c r="GW65" i="3" s="1"/>
  <c r="GU74" i="3"/>
  <c r="GU76" i="3"/>
  <c r="AS14" i="6"/>
  <c r="AG95" i="3"/>
  <c r="AX14" i="6" s="1"/>
  <c r="AT19" i="6"/>
  <c r="DJ94" i="3"/>
  <c r="AW19" i="6" s="1"/>
  <c r="AT17" i="6"/>
  <c r="CD94" i="3"/>
  <c r="AW17" i="6" s="1"/>
  <c r="GU77" i="3"/>
  <c r="AX95" i="3"/>
  <c r="AX15" i="6" s="1"/>
  <c r="AS15" i="6"/>
  <c r="AT14" i="6"/>
  <c r="AG94" i="3"/>
  <c r="AW14" i="6" s="1"/>
  <c r="AT15" i="6"/>
  <c r="AX94" i="3"/>
  <c r="AW15" i="6" s="1"/>
  <c r="GG55" i="3"/>
  <c r="GG56" i="3"/>
  <c r="GG54" i="3"/>
  <c r="AS19" i="6"/>
  <c r="DJ95" i="3"/>
  <c r="AX19" i="6" s="1"/>
  <c r="AS18" i="6"/>
  <c r="CT95" i="3"/>
  <c r="AX18" i="6" s="1"/>
  <c r="AH114" i="3"/>
  <c r="AH140" i="3"/>
  <c r="AH113" i="3"/>
  <c r="AH148" i="3"/>
  <c r="AB183" i="3"/>
  <c r="AE183" i="3" s="1"/>
  <c r="AH129" i="3"/>
  <c r="AH149" i="3"/>
  <c r="AH115" i="3"/>
  <c r="AH150" i="3"/>
  <c r="AF103" i="3"/>
  <c r="AG103" i="3" s="1"/>
  <c r="AH110" i="3"/>
  <c r="AH160" i="3"/>
  <c r="AA164" i="3"/>
  <c r="AR26" i="6"/>
  <c r="AH166" i="3"/>
  <c r="AH112" i="3"/>
  <c r="AH111" i="3"/>
  <c r="AH171" i="3"/>
  <c r="AH167" i="3"/>
  <c r="AS103" i="3"/>
  <c r="AH128" i="3"/>
  <c r="AH168" i="3"/>
  <c r="AH169" i="3"/>
  <c r="AA103" i="3"/>
  <c r="GL86" i="3" l="1"/>
  <c r="AT16" i="6"/>
  <c r="GM76" i="3"/>
  <c r="GM77" i="3" s="1"/>
  <c r="GM78" i="3" s="1"/>
  <c r="FW88" i="3"/>
  <c r="FV91" i="3"/>
  <c r="FV90" i="3" s="1"/>
  <c r="FW87" i="3"/>
  <c r="FV92" i="3"/>
  <c r="AS23" i="6" s="1"/>
  <c r="HB76" i="3"/>
  <c r="HB77" i="3" s="1"/>
  <c r="FF90" i="3"/>
  <c r="AT22" i="6" s="1"/>
  <c r="GW75" i="3"/>
  <c r="AA175" i="3"/>
  <c r="GW77" i="3"/>
  <c r="EP94" i="3"/>
  <c r="AW21" i="6" s="1"/>
  <c r="AT21" i="6"/>
  <c r="HB79" i="3"/>
  <c r="HB80" i="3" s="1"/>
  <c r="HA8" i="3"/>
  <c r="GZ95" i="3" s="1"/>
  <c r="AA153" i="3"/>
  <c r="AA163" i="3"/>
  <c r="AA154" i="3"/>
  <c r="AA152" i="3"/>
  <c r="AI119" i="3"/>
  <c r="AA104" i="3"/>
  <c r="AG152" i="3" s="1"/>
  <c r="AS104" i="3"/>
  <c r="AI117" i="3"/>
  <c r="AI148" i="3"/>
  <c r="AI120" i="3"/>
  <c r="AI167" i="3"/>
  <c r="AI150" i="3"/>
  <c r="AI121" i="3"/>
  <c r="AI128" i="3"/>
  <c r="AB185" i="3"/>
  <c r="AE185" i="3" s="1"/>
  <c r="AI166" i="3"/>
  <c r="AI149" i="3"/>
  <c r="AI171" i="3"/>
  <c r="AI169" i="3"/>
  <c r="AI129" i="3"/>
  <c r="AI140" i="3"/>
  <c r="AI168" i="3"/>
  <c r="AI160" i="3"/>
  <c r="AF104" i="3"/>
  <c r="AG104" i="3" s="1"/>
  <c r="AI118" i="3"/>
  <c r="AC164" i="3"/>
  <c r="L94" i="4"/>
  <c r="M96" i="3" s="1"/>
  <c r="M93" i="3"/>
  <c r="GW55" i="3"/>
  <c r="GW54" i="3"/>
  <c r="GW56" i="3"/>
  <c r="AS22" i="6"/>
  <c r="FF95" i="3"/>
  <c r="AX22" i="6" s="1"/>
  <c r="AA172" i="3"/>
  <c r="AA174" i="3"/>
  <c r="GL78" i="3"/>
  <c r="GL85" i="3"/>
  <c r="HA56" i="3"/>
  <c r="GM79" i="3"/>
  <c r="AR27" i="6"/>
  <c r="AX166" i="3"/>
  <c r="AQ164" i="3"/>
  <c r="AX148" i="3"/>
  <c r="AX169" i="3"/>
  <c r="AX111" i="3"/>
  <c r="AX160" i="3"/>
  <c r="AR183" i="3"/>
  <c r="AU183" i="3" s="1"/>
  <c r="AX113" i="3"/>
  <c r="AX171" i="3"/>
  <c r="BI103" i="3"/>
  <c r="AX129" i="3"/>
  <c r="AX167" i="3"/>
  <c r="AV103" i="3"/>
  <c r="AW103" i="3" s="1"/>
  <c r="AX128" i="3"/>
  <c r="AX114" i="3"/>
  <c r="AX115" i="3"/>
  <c r="AX149" i="3"/>
  <c r="AX110" i="3"/>
  <c r="AX150" i="3"/>
  <c r="AX168" i="3"/>
  <c r="AX112" i="3"/>
  <c r="AQ103" i="3"/>
  <c r="AX140" i="3"/>
  <c r="HA55" i="3"/>
  <c r="AU27" i="6"/>
  <c r="AU32" i="6"/>
  <c r="AU28" i="6"/>
  <c r="AS12" i="6"/>
  <c r="E1" i="6" s="1"/>
  <c r="AU23" i="6"/>
  <c r="AU30" i="6"/>
  <c r="AU31" i="6"/>
  <c r="AU16" i="6"/>
  <c r="L93" i="4"/>
  <c r="M95" i="3" s="1"/>
  <c r="AU17" i="6"/>
  <c r="AU15" i="6"/>
  <c r="AU25" i="6"/>
  <c r="AU24" i="6"/>
  <c r="AU20" i="6"/>
  <c r="AU33" i="6"/>
  <c r="AU21" i="6"/>
  <c r="AU26" i="6"/>
  <c r="AU22" i="6"/>
  <c r="AU19" i="6"/>
  <c r="AU18" i="6"/>
  <c r="AU29" i="6"/>
  <c r="M91" i="3"/>
  <c r="AU14" i="6"/>
  <c r="AU34" i="6"/>
  <c r="AB187" i="3"/>
  <c r="AE187" i="3" s="1"/>
  <c r="AJ167" i="3"/>
  <c r="AJ149" i="3"/>
  <c r="AJ166" i="3"/>
  <c r="AJ148" i="3"/>
  <c r="AJ169" i="3"/>
  <c r="AJ160" i="3"/>
  <c r="AJ168" i="3"/>
  <c r="AJ150" i="3"/>
  <c r="AF105" i="3"/>
  <c r="AG105" i="3" s="1"/>
  <c r="AJ140" i="3"/>
  <c r="AS105" i="3"/>
  <c r="AJ129" i="3"/>
  <c r="AJ128" i="3"/>
  <c r="AJ175" i="3"/>
  <c r="AJ176" i="3" s="1"/>
  <c r="AJ171" i="3"/>
  <c r="AE164" i="3"/>
  <c r="AA173" i="3"/>
  <c r="HD89" i="3"/>
  <c r="GW76" i="3"/>
  <c r="GW74" i="3"/>
  <c r="GM87" i="3" l="1"/>
  <c r="AQ173" i="3"/>
  <c r="AV23" i="6"/>
  <c r="HC79" i="3"/>
  <c r="HC80" i="3" s="1"/>
  <c r="HC81" i="3" s="1"/>
  <c r="FV95" i="3"/>
  <c r="AX23" i="6" s="1"/>
  <c r="AH177" i="3"/>
  <c r="AH178" i="3" s="1"/>
  <c r="AH179" i="3" s="1"/>
  <c r="FF94" i="3"/>
  <c r="AW22" i="6" s="1"/>
  <c r="HC76" i="3"/>
  <c r="HC77" i="3" s="1"/>
  <c r="HC78" i="3" s="1"/>
  <c r="AQ175" i="3"/>
  <c r="AG106" i="3"/>
  <c r="AF193" i="3" s="1"/>
  <c r="HB81" i="3"/>
  <c r="HB86" i="3"/>
  <c r="BN150" i="3"/>
  <c r="BN140" i="3"/>
  <c r="BY103" i="3"/>
  <c r="BN169" i="3"/>
  <c r="BN111" i="3"/>
  <c r="BN166" i="3"/>
  <c r="BN128" i="3"/>
  <c r="BH183" i="3"/>
  <c r="BK183" i="3" s="1"/>
  <c r="BN113" i="3"/>
  <c r="BN167" i="3"/>
  <c r="BN148" i="3"/>
  <c r="BN129" i="3"/>
  <c r="BN171" i="3"/>
  <c r="BN149" i="3"/>
  <c r="BN110" i="3"/>
  <c r="BN168" i="3"/>
  <c r="BN112" i="3"/>
  <c r="BL103" i="3"/>
  <c r="BM103" i="3" s="1"/>
  <c r="AR28" i="6"/>
  <c r="BG103" i="3"/>
  <c r="BN160" i="3"/>
  <c r="BN115" i="3"/>
  <c r="BG164" i="3"/>
  <c r="BN114" i="3"/>
  <c r="HB78" i="3"/>
  <c r="HB85" i="3"/>
  <c r="AH174" i="3"/>
  <c r="AC173" i="3"/>
  <c r="AZ167" i="3"/>
  <c r="AZ149" i="3"/>
  <c r="BI105" i="3"/>
  <c r="AZ129" i="3"/>
  <c r="AZ168" i="3"/>
  <c r="AR187" i="3"/>
  <c r="AU187" i="3" s="1"/>
  <c r="AZ166" i="3"/>
  <c r="AZ160" i="3"/>
  <c r="AZ175" i="3"/>
  <c r="AZ176" i="3" s="1"/>
  <c r="AZ169" i="3"/>
  <c r="AZ150" i="3"/>
  <c r="AZ128" i="3"/>
  <c r="AU164" i="3"/>
  <c r="AZ171" i="3"/>
  <c r="AZ148" i="3"/>
  <c r="AV105" i="3"/>
  <c r="AW105" i="3" s="1"/>
  <c r="AZ140" i="3"/>
  <c r="AS106" i="3"/>
  <c r="AY191" i="3" s="1"/>
  <c r="GM80" i="3"/>
  <c r="GL91" i="3"/>
  <c r="BI104" i="3"/>
  <c r="BI106" i="3" s="1"/>
  <c r="BO191" i="3" s="1"/>
  <c r="AY149" i="3"/>
  <c r="AY120" i="3"/>
  <c r="AY140" i="3"/>
  <c r="AR185" i="3"/>
  <c r="AU185" i="3" s="1"/>
  <c r="AY119" i="3"/>
  <c r="AY118" i="3"/>
  <c r="AY129" i="3"/>
  <c r="AY150" i="3"/>
  <c r="AY160" i="3"/>
  <c r="AY167" i="3"/>
  <c r="AY171" i="3"/>
  <c r="AQ104" i="3"/>
  <c r="AW153" i="3" s="1"/>
  <c r="AY121" i="3"/>
  <c r="AY148" i="3"/>
  <c r="AY128" i="3"/>
  <c r="AY117" i="3"/>
  <c r="AY168" i="3"/>
  <c r="AY166" i="3"/>
  <c r="AY169" i="3"/>
  <c r="AV104" i="3"/>
  <c r="AW104" i="3" s="1"/>
  <c r="AS164" i="3"/>
  <c r="AQ154" i="3"/>
  <c r="AQ152" i="3"/>
  <c r="AQ153" i="3"/>
  <c r="AQ163" i="3"/>
  <c r="AQ172" i="3"/>
  <c r="AQ174" i="3"/>
  <c r="AC172" i="3"/>
  <c r="AC174" i="3"/>
  <c r="AC153" i="3"/>
  <c r="AC154" i="3"/>
  <c r="AC152" i="3"/>
  <c r="AG154" i="3"/>
  <c r="AC175" i="3"/>
  <c r="AA106" i="3"/>
  <c r="AC163" i="3" s="1"/>
  <c r="AT23" i="6"/>
  <c r="FV94" i="3"/>
  <c r="AW23" i="6" s="1"/>
  <c r="AJ187" i="3"/>
  <c r="AG153" i="3"/>
  <c r="AW152" i="3" l="1"/>
  <c r="AQ106" i="3"/>
  <c r="AS163" i="3" s="1"/>
  <c r="AW154" i="3"/>
  <c r="AX174" i="3"/>
  <c r="AX175" i="3" s="1"/>
  <c r="AH184" i="3"/>
  <c r="HC88" i="3"/>
  <c r="AX177" i="3"/>
  <c r="AX178" i="3" s="1"/>
  <c r="AX179" i="3" s="1"/>
  <c r="HB91" i="3"/>
  <c r="AV25" i="6" s="1"/>
  <c r="HC87" i="3"/>
  <c r="BG173" i="3"/>
  <c r="AI174" i="3"/>
  <c r="AI175" i="3" s="1"/>
  <c r="AI176" i="3" s="1"/>
  <c r="AS173" i="3"/>
  <c r="HB92" i="3"/>
  <c r="HB95" i="3" s="1"/>
  <c r="AX25" i="6" s="1"/>
  <c r="AW106" i="3"/>
  <c r="AV193" i="3" s="1"/>
  <c r="AV24" i="6"/>
  <c r="GL90" i="3"/>
  <c r="AZ187" i="3"/>
  <c r="BG154" i="3"/>
  <c r="BG163" i="3"/>
  <c r="BG152" i="3"/>
  <c r="BG153" i="3"/>
  <c r="AS175" i="3"/>
  <c r="AS153" i="3"/>
  <c r="AS152" i="3"/>
  <c r="AS154" i="3"/>
  <c r="GM81" i="3"/>
  <c r="GL92" i="3" s="1"/>
  <c r="GM88" i="3"/>
  <c r="AH175" i="3"/>
  <c r="CD114" i="3"/>
  <c r="CD140" i="3"/>
  <c r="CD113" i="3"/>
  <c r="CD149" i="3"/>
  <c r="BX183" i="3"/>
  <c r="CA183" i="3" s="1"/>
  <c r="CD115" i="3"/>
  <c r="CD150" i="3"/>
  <c r="BW164" i="3"/>
  <c r="CD160" i="3"/>
  <c r="CB103" i="3"/>
  <c r="CC103" i="3" s="1"/>
  <c r="CD110" i="3"/>
  <c r="CD169" i="3"/>
  <c r="CD112" i="3"/>
  <c r="BW103" i="3"/>
  <c r="AR29" i="6"/>
  <c r="CD128" i="3"/>
  <c r="CO103" i="3"/>
  <c r="CD111" i="3"/>
  <c r="CD148" i="3"/>
  <c r="CD129" i="3"/>
  <c r="CD166" i="3"/>
  <c r="CD171" i="3"/>
  <c r="CD168" i="3"/>
  <c r="CD167" i="3"/>
  <c r="BO148" i="3"/>
  <c r="BO129" i="3"/>
  <c r="BO167" i="3"/>
  <c r="BO169" i="3"/>
  <c r="BO171" i="3"/>
  <c r="BO118" i="3"/>
  <c r="BH185" i="3"/>
  <c r="BK185" i="3" s="1"/>
  <c r="BO128" i="3"/>
  <c r="BO121" i="3"/>
  <c r="BO149" i="3"/>
  <c r="BO117" i="3"/>
  <c r="BY104" i="3"/>
  <c r="BL104" i="3"/>
  <c r="BM104" i="3" s="1"/>
  <c r="BO150" i="3"/>
  <c r="BG104" i="3"/>
  <c r="BM154" i="3" s="1"/>
  <c r="BO140" i="3"/>
  <c r="BO119" i="3"/>
  <c r="BO120" i="3"/>
  <c r="BO166" i="3"/>
  <c r="BO160" i="3"/>
  <c r="BO168" i="3"/>
  <c r="BI164" i="3"/>
  <c r="AS174" i="3"/>
  <c r="AS172" i="3"/>
  <c r="BP169" i="3"/>
  <c r="BP175" i="3"/>
  <c r="BP176" i="3" s="1"/>
  <c r="BP140" i="3"/>
  <c r="BH187" i="3"/>
  <c r="BK187" i="3" s="1"/>
  <c r="BY105" i="3"/>
  <c r="BP171" i="3"/>
  <c r="BP149" i="3"/>
  <c r="BP160" i="3"/>
  <c r="BK164" i="3"/>
  <c r="BP148" i="3"/>
  <c r="BP150" i="3"/>
  <c r="BP167" i="3"/>
  <c r="BP128" i="3"/>
  <c r="BP129" i="3"/>
  <c r="BP166" i="3"/>
  <c r="BP168" i="3"/>
  <c r="BL105" i="3"/>
  <c r="BM105" i="3" s="1"/>
  <c r="BG172" i="3"/>
  <c r="BG174" i="3"/>
  <c r="AI177" i="3"/>
  <c r="AI178" i="3" s="1"/>
  <c r="BG175" i="3"/>
  <c r="AY174" i="3" l="1"/>
  <c r="AY175" i="3" s="1"/>
  <c r="AY176" i="3" s="1"/>
  <c r="AX184" i="3"/>
  <c r="HB90" i="3"/>
  <c r="AT25" i="6" s="1"/>
  <c r="BN174" i="3"/>
  <c r="BN175" i="3" s="1"/>
  <c r="AI185" i="3"/>
  <c r="BW175" i="3"/>
  <c r="BI173" i="3"/>
  <c r="BW173" i="3"/>
  <c r="AS25" i="6"/>
  <c r="AY177" i="3"/>
  <c r="AY178" i="3" s="1"/>
  <c r="BM106" i="3"/>
  <c r="BL193" i="3" s="1"/>
  <c r="BM153" i="3"/>
  <c r="CE128" i="3"/>
  <c r="CE168" i="3"/>
  <c r="CE167" i="3"/>
  <c r="CE119" i="3"/>
  <c r="CE169" i="3"/>
  <c r="CE166" i="3"/>
  <c r="BX185" i="3"/>
  <c r="CA185" i="3" s="1"/>
  <c r="BW104" i="3"/>
  <c r="CC154" i="3" s="1"/>
  <c r="CE171" i="3"/>
  <c r="CE118" i="3"/>
  <c r="CB104" i="3"/>
  <c r="CC104" i="3" s="1"/>
  <c r="CE160" i="3"/>
  <c r="CE149" i="3"/>
  <c r="CO104" i="3"/>
  <c r="CE148" i="3"/>
  <c r="CE120" i="3"/>
  <c r="CE150" i="3"/>
  <c r="CE129" i="3"/>
  <c r="CE140" i="3"/>
  <c r="CE121" i="3"/>
  <c r="CE117" i="3"/>
  <c r="BY164" i="3"/>
  <c r="AT24" i="6"/>
  <c r="GL94" i="3"/>
  <c r="AW24" i="6" s="1"/>
  <c r="BY106" i="3"/>
  <c r="CE191" i="3" s="1"/>
  <c r="AI179" i="3"/>
  <c r="AI186" i="3"/>
  <c r="BI175" i="3"/>
  <c r="DE103" i="3"/>
  <c r="CT169" i="3"/>
  <c r="CT111" i="3"/>
  <c r="CT112" i="3"/>
  <c r="CT149" i="3"/>
  <c r="CR103" i="3"/>
  <c r="CS103" i="3" s="1"/>
  <c r="CM164" i="3"/>
  <c r="AR30" i="6"/>
  <c r="CT129" i="3"/>
  <c r="CT128" i="3"/>
  <c r="CT140" i="3"/>
  <c r="CT166" i="3"/>
  <c r="CT114" i="3"/>
  <c r="CT171" i="3"/>
  <c r="CT148" i="3"/>
  <c r="CT150" i="3"/>
  <c r="CM103" i="3"/>
  <c r="CT167" i="3"/>
  <c r="CT160" i="3"/>
  <c r="CT113" i="3"/>
  <c r="CT168" i="3"/>
  <c r="CT115" i="3"/>
  <c r="CN183" i="3"/>
  <c r="CQ183" i="3" s="1"/>
  <c r="CT110" i="3"/>
  <c r="BN177" i="3"/>
  <c r="BN178" i="3" s="1"/>
  <c r="BI174" i="3"/>
  <c r="BI172" i="3"/>
  <c r="BW172" i="3"/>
  <c r="BW174" i="3"/>
  <c r="BM152" i="3"/>
  <c r="CF140" i="3"/>
  <c r="CB105" i="3"/>
  <c r="CC105" i="3" s="1"/>
  <c r="CF149" i="3"/>
  <c r="CF167" i="3"/>
  <c r="CF129" i="3"/>
  <c r="BX187" i="3"/>
  <c r="CA187" i="3" s="1"/>
  <c r="CO105" i="3"/>
  <c r="CF171" i="3"/>
  <c r="CF160" i="3"/>
  <c r="CF175" i="3"/>
  <c r="CF176" i="3" s="1"/>
  <c r="CF128" i="3"/>
  <c r="CF166" i="3"/>
  <c r="CF168" i="3"/>
  <c r="CA164" i="3"/>
  <c r="CF148" i="3"/>
  <c r="CF150" i="3"/>
  <c r="CF169" i="3"/>
  <c r="AH189" i="3"/>
  <c r="AS24" i="6"/>
  <c r="GL95" i="3"/>
  <c r="AX24" i="6" s="1"/>
  <c r="BP187" i="3"/>
  <c r="BI154" i="3"/>
  <c r="BI153" i="3"/>
  <c r="BI152" i="3"/>
  <c r="BW152" i="3"/>
  <c r="BW154" i="3"/>
  <c r="BW163" i="3"/>
  <c r="BW153" i="3"/>
  <c r="BW106" i="3"/>
  <c r="BY163" i="3" s="1"/>
  <c r="AH176" i="3"/>
  <c r="AH183" i="3"/>
  <c r="BG106" i="3"/>
  <c r="BI163" i="3" s="1"/>
  <c r="AX176" i="3"/>
  <c r="AX183" i="3"/>
  <c r="CC153" i="3" l="1"/>
  <c r="CC152" i="3"/>
  <c r="CD177" i="3"/>
  <c r="CD178" i="3" s="1"/>
  <c r="CD179" i="3" s="1"/>
  <c r="AX189" i="3"/>
  <c r="AX188" i="3" s="1"/>
  <c r="AY185" i="3"/>
  <c r="HB94" i="3"/>
  <c r="AW25" i="6" s="1"/>
  <c r="CD174" i="3"/>
  <c r="CD175" i="3" s="1"/>
  <c r="BO174" i="3"/>
  <c r="BO175" i="3" s="1"/>
  <c r="BO176" i="3" s="1"/>
  <c r="BY173" i="3"/>
  <c r="CC106" i="3"/>
  <c r="CB193" i="3" s="1"/>
  <c r="BO177" i="3"/>
  <c r="BO178" i="3" s="1"/>
  <c r="BO179" i="3" s="1"/>
  <c r="AY179" i="3"/>
  <c r="AX190" i="3" s="1"/>
  <c r="AY186" i="3"/>
  <c r="AH190" i="3"/>
  <c r="AH193" i="3" s="1"/>
  <c r="AX26" i="6" s="1"/>
  <c r="BN179" i="3"/>
  <c r="BN184" i="3"/>
  <c r="CM173" i="3"/>
  <c r="CU149" i="3"/>
  <c r="CU117" i="3"/>
  <c r="CU160" i="3"/>
  <c r="CU166" i="3"/>
  <c r="DE104" i="3"/>
  <c r="CN185" i="3"/>
  <c r="CQ185" i="3" s="1"/>
  <c r="CU167" i="3"/>
  <c r="CU150" i="3"/>
  <c r="CU148" i="3"/>
  <c r="CU168" i="3"/>
  <c r="CU121" i="3"/>
  <c r="CU171" i="3"/>
  <c r="CU140" i="3"/>
  <c r="CR104" i="3"/>
  <c r="CS104" i="3" s="1"/>
  <c r="CU128" i="3"/>
  <c r="CU169" i="3"/>
  <c r="CU119" i="3"/>
  <c r="CM104" i="3"/>
  <c r="CS152" i="3" s="1"/>
  <c r="CU120" i="3"/>
  <c r="CU129" i="3"/>
  <c r="CU118" i="3"/>
  <c r="CO164" i="3"/>
  <c r="BY175" i="3"/>
  <c r="CV166" i="3"/>
  <c r="CR105" i="3"/>
  <c r="CS105" i="3" s="1"/>
  <c r="CV148" i="3"/>
  <c r="DE105" i="3"/>
  <c r="CV129" i="3"/>
  <c r="CV149" i="3"/>
  <c r="CV169" i="3"/>
  <c r="CV171" i="3"/>
  <c r="CQ164" i="3"/>
  <c r="CV150" i="3"/>
  <c r="CV175" i="3"/>
  <c r="CV176" i="3" s="1"/>
  <c r="CV160" i="3"/>
  <c r="CV168" i="3"/>
  <c r="CV128" i="3"/>
  <c r="CV140" i="3"/>
  <c r="CV167" i="3"/>
  <c r="CN187" i="3"/>
  <c r="CQ187" i="3" s="1"/>
  <c r="CM172" i="3"/>
  <c r="CM174" i="3"/>
  <c r="DJ148" i="3"/>
  <c r="DJ169" i="3"/>
  <c r="DJ111" i="3"/>
  <c r="DJ112" i="3"/>
  <c r="DJ149" i="3"/>
  <c r="DJ140" i="3"/>
  <c r="DJ150" i="3"/>
  <c r="DJ167" i="3"/>
  <c r="DJ166" i="3"/>
  <c r="DJ113" i="3"/>
  <c r="DJ168" i="3"/>
  <c r="DJ115" i="3"/>
  <c r="AR31" i="6"/>
  <c r="DD183" i="3"/>
  <c r="DG183" i="3" s="1"/>
  <c r="DJ110" i="3"/>
  <c r="DJ128" i="3"/>
  <c r="DC164" i="3"/>
  <c r="DJ160" i="3"/>
  <c r="DC103" i="3"/>
  <c r="DJ129" i="3"/>
  <c r="DU103" i="3"/>
  <c r="DH103" i="3"/>
  <c r="DI103" i="3" s="1"/>
  <c r="DJ171" i="3"/>
  <c r="DJ114" i="3"/>
  <c r="CF187" i="3"/>
  <c r="CO106" i="3"/>
  <c r="CU191" i="3" s="1"/>
  <c r="BY172" i="3"/>
  <c r="BY174" i="3"/>
  <c r="AV26" i="6"/>
  <c r="AH188" i="3"/>
  <c r="CM163" i="3"/>
  <c r="CS154" i="3"/>
  <c r="CM106" i="3"/>
  <c r="CO163" i="3" s="1"/>
  <c r="CM154" i="3"/>
  <c r="CM152" i="3"/>
  <c r="CM153" i="3"/>
  <c r="BN176" i="3"/>
  <c r="BN183" i="3"/>
  <c r="CM175" i="3"/>
  <c r="BY152" i="3"/>
  <c r="BY153" i="3"/>
  <c r="BY154" i="3"/>
  <c r="CS153" i="3" l="1"/>
  <c r="CD184" i="3"/>
  <c r="AV27" i="6"/>
  <c r="BO185" i="3"/>
  <c r="CE174" i="3"/>
  <c r="CE175" i="3" s="1"/>
  <c r="CE176" i="3" s="1"/>
  <c r="CT174" i="3"/>
  <c r="CT175" i="3" s="1"/>
  <c r="BO186" i="3"/>
  <c r="BN189" i="3"/>
  <c r="BN188" i="3" s="1"/>
  <c r="AS26" i="6"/>
  <c r="AX193" i="3"/>
  <c r="AX27" i="6" s="1"/>
  <c r="AS27" i="6"/>
  <c r="CE177" i="3"/>
  <c r="CE178" i="3" s="1"/>
  <c r="CE179" i="3" s="1"/>
  <c r="CT177" i="3"/>
  <c r="CT178" i="3" s="1"/>
  <c r="CT179" i="3" s="1"/>
  <c r="CS106" i="3"/>
  <c r="CR193" i="3" s="1"/>
  <c r="AT27" i="6"/>
  <c r="AX192" i="3"/>
  <c r="AW27" i="6" s="1"/>
  <c r="CV187" i="3"/>
  <c r="CO154" i="3"/>
  <c r="CO152" i="3"/>
  <c r="CO153" i="3"/>
  <c r="CO173" i="3"/>
  <c r="DG164" i="3"/>
  <c r="DL149" i="3"/>
  <c r="DL166" i="3"/>
  <c r="DL150" i="3"/>
  <c r="DL169" i="3"/>
  <c r="DL128" i="3"/>
  <c r="DH105" i="3"/>
  <c r="DI105" i="3" s="1"/>
  <c r="DL140" i="3"/>
  <c r="DL129" i="3"/>
  <c r="DL167" i="3"/>
  <c r="DL171" i="3"/>
  <c r="DL148" i="3"/>
  <c r="DL175" i="3"/>
  <c r="DL176" i="3" s="1"/>
  <c r="DD187" i="3"/>
  <c r="DG187" i="3" s="1"/>
  <c r="DU105" i="3"/>
  <c r="DL168" i="3"/>
  <c r="DL160" i="3"/>
  <c r="DK167" i="3"/>
  <c r="DC104" i="3"/>
  <c r="DH104" i="3"/>
  <c r="DI104" i="3" s="1"/>
  <c r="DD185" i="3"/>
  <c r="DG185" i="3" s="1"/>
  <c r="DK169" i="3"/>
  <c r="DK120" i="3"/>
  <c r="DK118" i="3"/>
  <c r="DK129" i="3"/>
  <c r="DK121" i="3"/>
  <c r="DK148" i="3"/>
  <c r="DK117" i="3"/>
  <c r="DK128" i="3"/>
  <c r="DK171" i="3"/>
  <c r="DU104" i="3"/>
  <c r="DK150" i="3"/>
  <c r="DK168" i="3"/>
  <c r="DK149" i="3"/>
  <c r="DK160" i="3"/>
  <c r="DK119" i="3"/>
  <c r="DK166" i="3"/>
  <c r="DK140" i="3"/>
  <c r="DE164" i="3"/>
  <c r="CD176" i="3"/>
  <c r="CD183" i="3"/>
  <c r="DZ148" i="3"/>
  <c r="DT183" i="3"/>
  <c r="DW183" i="3" s="1"/>
  <c r="DZ115" i="3"/>
  <c r="DZ167" i="3"/>
  <c r="DZ160" i="3"/>
  <c r="DS164" i="3"/>
  <c r="DU106" i="3"/>
  <c r="EA191" i="3" s="1"/>
  <c r="DZ114" i="3"/>
  <c r="DX103" i="3"/>
  <c r="DY103" i="3" s="1"/>
  <c r="DZ129" i="3"/>
  <c r="DZ149" i="3"/>
  <c r="DZ110" i="3"/>
  <c r="DZ150" i="3"/>
  <c r="DZ171" i="3"/>
  <c r="AR32" i="6"/>
  <c r="DZ168" i="3"/>
  <c r="DS103" i="3"/>
  <c r="DZ112" i="3"/>
  <c r="EK103" i="3"/>
  <c r="DZ169" i="3"/>
  <c r="DZ111" i="3"/>
  <c r="DZ166" i="3"/>
  <c r="DZ128" i="3"/>
  <c r="DZ140" i="3"/>
  <c r="DZ113" i="3"/>
  <c r="AT26" i="6"/>
  <c r="AH192" i="3"/>
  <c r="AW26" i="6" s="1"/>
  <c r="DC154" i="3"/>
  <c r="DC163" i="3"/>
  <c r="DC152" i="3"/>
  <c r="DC153" i="3"/>
  <c r="DC175" i="3"/>
  <c r="CO175" i="3"/>
  <c r="DC172" i="3"/>
  <c r="DC174" i="3"/>
  <c r="DC173" i="3"/>
  <c r="DE106" i="3"/>
  <c r="DK191" i="3" s="1"/>
  <c r="BN190" i="3"/>
  <c r="CO172" i="3"/>
  <c r="CU174" i="3" s="1"/>
  <c r="CU175" i="3" s="1"/>
  <c r="CU176" i="3" s="1"/>
  <c r="CO174" i="3"/>
  <c r="CE185" i="3" l="1"/>
  <c r="DJ177" i="3"/>
  <c r="DJ178" i="3" s="1"/>
  <c r="DJ179" i="3" s="1"/>
  <c r="DI106" i="3"/>
  <c r="DH193" i="3" s="1"/>
  <c r="DJ174" i="3"/>
  <c r="DJ175" i="3" s="1"/>
  <c r="AV28" i="6"/>
  <c r="CD189" i="3"/>
  <c r="AV29" i="6" s="1"/>
  <c r="CE186" i="3"/>
  <c r="CD190" i="3"/>
  <c r="AS29" i="6" s="1"/>
  <c r="CU177" i="3"/>
  <c r="CU178" i="3" s="1"/>
  <c r="CU179" i="3" s="1"/>
  <c r="CU185" i="3"/>
  <c r="CT184" i="3"/>
  <c r="DS174" i="3"/>
  <c r="DS172" i="3"/>
  <c r="DE153" i="3"/>
  <c r="DE154" i="3"/>
  <c r="DE152" i="3"/>
  <c r="DC106" i="3"/>
  <c r="DE163" i="3" s="1"/>
  <c r="BN193" i="3"/>
  <c r="AX28" i="6" s="1"/>
  <c r="AS28" i="6"/>
  <c r="DS173" i="3"/>
  <c r="AT28" i="6"/>
  <c r="BN192" i="3"/>
  <c r="AW28" i="6" s="1"/>
  <c r="EP150" i="3"/>
  <c r="EN103" i="3"/>
  <c r="EO103" i="3" s="1"/>
  <c r="EI164" i="3"/>
  <c r="EP160" i="3"/>
  <c r="EP129" i="3"/>
  <c r="AR33" i="6"/>
  <c r="EP166" i="3"/>
  <c r="EP110" i="3"/>
  <c r="EP128" i="3"/>
  <c r="EP168" i="3"/>
  <c r="EP112" i="3"/>
  <c r="FA103" i="3"/>
  <c r="EP169" i="3"/>
  <c r="EP140" i="3"/>
  <c r="EP114" i="3"/>
  <c r="EI103" i="3"/>
  <c r="EP111" i="3"/>
  <c r="EP167" i="3"/>
  <c r="EP148" i="3"/>
  <c r="EJ183" i="3"/>
  <c r="EM183" i="3" s="1"/>
  <c r="EP113" i="3"/>
  <c r="EP171" i="3"/>
  <c r="EP115" i="3"/>
  <c r="EK106" i="3"/>
  <c r="EQ191" i="3" s="1"/>
  <c r="EP149" i="3"/>
  <c r="EA140" i="3"/>
  <c r="DX104" i="3"/>
  <c r="DY104" i="3" s="1"/>
  <c r="EA169" i="3"/>
  <c r="EA166" i="3"/>
  <c r="EA119" i="3"/>
  <c r="DT185" i="3"/>
  <c r="DW185" i="3" s="1"/>
  <c r="EA168" i="3"/>
  <c r="DS104" i="3"/>
  <c r="DY153" i="3" s="1"/>
  <c r="EA118" i="3"/>
  <c r="EA120" i="3"/>
  <c r="EA129" i="3"/>
  <c r="EA121" i="3"/>
  <c r="EK104" i="3"/>
  <c r="EA171" i="3"/>
  <c r="EA167" i="3"/>
  <c r="EA148" i="3"/>
  <c r="EA128" i="3"/>
  <c r="EA160" i="3"/>
  <c r="EA149" i="3"/>
  <c r="EA117" i="3"/>
  <c r="EA150" i="3"/>
  <c r="DU164" i="3"/>
  <c r="EB148" i="3"/>
  <c r="EB140" i="3"/>
  <c r="EB168" i="3"/>
  <c r="DT187" i="3"/>
  <c r="DW187" i="3" s="1"/>
  <c r="EB149" i="3"/>
  <c r="DX105" i="3"/>
  <c r="DY105" i="3" s="1"/>
  <c r="EB128" i="3"/>
  <c r="EB129" i="3"/>
  <c r="EB166" i="3"/>
  <c r="EB171" i="3"/>
  <c r="EB167" i="3"/>
  <c r="EB169" i="3"/>
  <c r="EK105" i="3"/>
  <c r="EB150" i="3"/>
  <c r="EB160" i="3"/>
  <c r="DW164" i="3"/>
  <c r="EB175" i="3"/>
  <c r="EB176" i="3" s="1"/>
  <c r="DI153" i="3"/>
  <c r="DI152" i="3"/>
  <c r="DS175" i="3"/>
  <c r="DL187" i="3"/>
  <c r="CT176" i="3"/>
  <c r="CT183" i="3"/>
  <c r="DS153" i="3"/>
  <c r="DS163" i="3"/>
  <c r="DS154" i="3"/>
  <c r="DS152" i="3"/>
  <c r="DE174" i="3"/>
  <c r="DE172" i="3"/>
  <c r="DI154" i="3"/>
  <c r="DE175" i="3"/>
  <c r="DE173" i="3"/>
  <c r="DY154" i="3" l="1"/>
  <c r="DJ184" i="3"/>
  <c r="CT189" i="3"/>
  <c r="AV30" i="6" s="1"/>
  <c r="EI173" i="3"/>
  <c r="DS106" i="3"/>
  <c r="DU163" i="3" s="1"/>
  <c r="DY152" i="3"/>
  <c r="DY106" i="3"/>
  <c r="DX193" i="3" s="1"/>
  <c r="CD188" i="3"/>
  <c r="CD192" i="3" s="1"/>
  <c r="AW29" i="6" s="1"/>
  <c r="CU186" i="3"/>
  <c r="CD193" i="3"/>
  <c r="AX29" i="6" s="1"/>
  <c r="DK177" i="3"/>
  <c r="DK178" i="3" s="1"/>
  <c r="DK179" i="3" s="1"/>
  <c r="CT190" i="3"/>
  <c r="CT193" i="3" s="1"/>
  <c r="AX30" i="6" s="1"/>
  <c r="DK174" i="3"/>
  <c r="DK175" i="3" s="1"/>
  <c r="DK176" i="3" s="1"/>
  <c r="EQ148" i="3"/>
  <c r="EQ129" i="3"/>
  <c r="EN104" i="3"/>
  <c r="EO104" i="3" s="1"/>
  <c r="EO106" i="3" s="1"/>
  <c r="EN193" i="3" s="1"/>
  <c r="EQ150" i="3"/>
  <c r="EQ117" i="3"/>
  <c r="EJ185" i="3"/>
  <c r="EM185" i="3" s="1"/>
  <c r="EQ167" i="3"/>
  <c r="EI104" i="3"/>
  <c r="EO153" i="3" s="1"/>
  <c r="EQ128" i="3"/>
  <c r="EQ120" i="3"/>
  <c r="EQ160" i="3"/>
  <c r="EQ149" i="3"/>
  <c r="EQ121" i="3"/>
  <c r="EQ166" i="3"/>
  <c r="EQ168" i="3"/>
  <c r="EQ119" i="3"/>
  <c r="EK164" i="3"/>
  <c r="EQ140" i="3"/>
  <c r="EQ171" i="3"/>
  <c r="FA104" i="3"/>
  <c r="EQ118" i="3"/>
  <c r="EQ169" i="3"/>
  <c r="DU175" i="3"/>
  <c r="DU173" i="3"/>
  <c r="FA105" i="3"/>
  <c r="ER129" i="3"/>
  <c r="ER128" i="3"/>
  <c r="ER160" i="3"/>
  <c r="ER140" i="3"/>
  <c r="ER169" i="3"/>
  <c r="EN105" i="3"/>
  <c r="EO105" i="3" s="1"/>
  <c r="ER148" i="3"/>
  <c r="ER166" i="3"/>
  <c r="ER171" i="3"/>
  <c r="ER167" i="3"/>
  <c r="ER175" i="3"/>
  <c r="ER176" i="3" s="1"/>
  <c r="EJ187" i="3"/>
  <c r="EM187" i="3" s="1"/>
  <c r="ER168" i="3"/>
  <c r="ER149" i="3"/>
  <c r="ER150" i="3"/>
  <c r="EM164" i="3"/>
  <c r="FF150" i="3"/>
  <c r="FF140" i="3"/>
  <c r="FF112" i="3"/>
  <c r="FF160" i="3"/>
  <c r="EY103" i="3"/>
  <c r="FF171" i="3"/>
  <c r="FF168" i="3"/>
  <c r="FF111" i="3"/>
  <c r="FF166" i="3"/>
  <c r="AR34" i="6"/>
  <c r="EZ183" i="3"/>
  <c r="FC183" i="3" s="1"/>
  <c r="FF113" i="3"/>
  <c r="FF167" i="3"/>
  <c r="FF128" i="3"/>
  <c r="FF129" i="3"/>
  <c r="FF114" i="3"/>
  <c r="FF169" i="3"/>
  <c r="FF115" i="3"/>
  <c r="FF148" i="3"/>
  <c r="FD103" i="3"/>
  <c r="FE103" i="3" s="1"/>
  <c r="FF110" i="3"/>
  <c r="FF149" i="3"/>
  <c r="EY164" i="3"/>
  <c r="EB187" i="3"/>
  <c r="EI175" i="3"/>
  <c r="EI152" i="3"/>
  <c r="EI153" i="3"/>
  <c r="EI154" i="3"/>
  <c r="EI163" i="3"/>
  <c r="DU172" i="3"/>
  <c r="DU174" i="3"/>
  <c r="DZ174" i="3"/>
  <c r="DJ176" i="3"/>
  <c r="DJ183" i="3"/>
  <c r="DU154" i="3"/>
  <c r="DU153" i="3"/>
  <c r="DU152" i="3"/>
  <c r="EI172" i="3"/>
  <c r="EI174" i="3"/>
  <c r="DZ177" i="3"/>
  <c r="DZ178" i="3" s="1"/>
  <c r="EA174" i="3" l="1"/>
  <c r="EA175" i="3" s="1"/>
  <c r="EA176" i="3" s="1"/>
  <c r="EI106" i="3"/>
  <c r="EK163" i="3" s="1"/>
  <c r="EO152" i="3"/>
  <c r="EO154" i="3"/>
  <c r="EP177" i="3"/>
  <c r="EP178" i="3" s="1"/>
  <c r="EP179" i="3" s="1"/>
  <c r="EP174" i="3"/>
  <c r="EP175" i="3" s="1"/>
  <c r="AT29" i="6"/>
  <c r="CT188" i="3"/>
  <c r="AT30" i="6" s="1"/>
  <c r="EK173" i="3"/>
  <c r="DJ189" i="3"/>
  <c r="AV31" i="6" s="1"/>
  <c r="DK186" i="3"/>
  <c r="DK185" i="3"/>
  <c r="ER187" i="3"/>
  <c r="DJ190" i="3"/>
  <c r="AS31" i="6" s="1"/>
  <c r="AS30" i="6"/>
  <c r="EA177" i="3"/>
  <c r="EA178" i="3" s="1"/>
  <c r="EA179" i="3" s="1"/>
  <c r="EZ185" i="3"/>
  <c r="FC185" i="3" s="1"/>
  <c r="FG128" i="3"/>
  <c r="FG129" i="3"/>
  <c r="FG149" i="3"/>
  <c r="FG117" i="3"/>
  <c r="FG140" i="3"/>
  <c r="FG169" i="3"/>
  <c r="FG168" i="3"/>
  <c r="FG171" i="3"/>
  <c r="FG120" i="3"/>
  <c r="FD104" i="3"/>
  <c r="FE104" i="3" s="1"/>
  <c r="FG167" i="3"/>
  <c r="FG148" i="3"/>
  <c r="FG121" i="3"/>
  <c r="FG150" i="3"/>
  <c r="FG166" i="3"/>
  <c r="EY104" i="3"/>
  <c r="FE152" i="3" s="1"/>
  <c r="FG160" i="3"/>
  <c r="FG119" i="3"/>
  <c r="FG118" i="3"/>
  <c r="FA164" i="3"/>
  <c r="DZ175" i="3"/>
  <c r="FA106" i="3"/>
  <c r="FG191" i="3" s="1"/>
  <c r="FD105" i="3"/>
  <c r="FE105" i="3" s="1"/>
  <c r="FE106" i="3" s="1"/>
  <c r="EZ187" i="3"/>
  <c r="FC187" i="3" s="1"/>
  <c r="FH150" i="3"/>
  <c r="FH140" i="3"/>
  <c r="FH129" i="3"/>
  <c r="FH128" i="3"/>
  <c r="FH166" i="3"/>
  <c r="FH167" i="3"/>
  <c r="FH171" i="3"/>
  <c r="FH160" i="3"/>
  <c r="FH175" i="3"/>
  <c r="FH176" i="3" s="1"/>
  <c r="FH149" i="3"/>
  <c r="FH148" i="3"/>
  <c r="FH168" i="3"/>
  <c r="FH169" i="3"/>
  <c r="FC164" i="3"/>
  <c r="EK172" i="3"/>
  <c r="EK174" i="3"/>
  <c r="DZ179" i="3"/>
  <c r="DZ184" i="3"/>
  <c r="EY163" i="3"/>
  <c r="EY153" i="3"/>
  <c r="EY152" i="3"/>
  <c r="EY154" i="3"/>
  <c r="EK175" i="3"/>
  <c r="EK152" i="3"/>
  <c r="EK154" i="3"/>
  <c r="EK153" i="3"/>
  <c r="EY172" i="3"/>
  <c r="EY174" i="3"/>
  <c r="EY173" i="3"/>
  <c r="EY175" i="3"/>
  <c r="EA185" i="3" l="1"/>
  <c r="FE153" i="3"/>
  <c r="EY106" i="3"/>
  <c r="FA163" i="3" s="1"/>
  <c r="FE154" i="3"/>
  <c r="EQ174" i="3"/>
  <c r="EQ175" i="3" s="1"/>
  <c r="EQ176" i="3" s="1"/>
  <c r="EP184" i="3"/>
  <c r="CT192" i="3"/>
  <c r="AW30" i="6" s="1"/>
  <c r="FF174" i="3"/>
  <c r="FF175" i="3" s="1"/>
  <c r="EQ177" i="3"/>
  <c r="EQ178" i="3" s="1"/>
  <c r="EQ179" i="3" s="1"/>
  <c r="DJ188" i="3"/>
  <c r="AT31" i="6" s="1"/>
  <c r="EA186" i="3"/>
  <c r="DJ193" i="3"/>
  <c r="AX31" i="6" s="1"/>
  <c r="DZ189" i="3"/>
  <c r="AV32" i="6" s="1"/>
  <c r="FF177" i="3"/>
  <c r="FF178" i="3" s="1"/>
  <c r="DZ176" i="3"/>
  <c r="DZ190" i="3" s="1"/>
  <c r="DZ183" i="3"/>
  <c r="FH187" i="3"/>
  <c r="FA173" i="3"/>
  <c r="FA175" i="3"/>
  <c r="EP176" i="3"/>
  <c r="EP183" i="3"/>
  <c r="FA174" i="3"/>
  <c r="FA172" i="3"/>
  <c r="FD193" i="3"/>
  <c r="FA154" i="3"/>
  <c r="FA153" i="3"/>
  <c r="FA152" i="3"/>
  <c r="EQ185" i="3" l="1"/>
  <c r="EP190" i="3"/>
  <c r="AS33" i="6" s="1"/>
  <c r="EQ186" i="3"/>
  <c r="EP189" i="3"/>
  <c r="AV33" i="6" s="1"/>
  <c r="FG177" i="3"/>
  <c r="FG178" i="3" s="1"/>
  <c r="FG179" i="3" s="1"/>
  <c r="DJ192" i="3"/>
  <c r="AW31" i="6" s="1"/>
  <c r="DZ188" i="3"/>
  <c r="DZ192" i="3" s="1"/>
  <c r="AW32" i="6" s="1"/>
  <c r="FF179" i="3"/>
  <c r="FF184" i="3"/>
  <c r="FG174" i="3"/>
  <c r="DZ193" i="3"/>
  <c r="AX32" i="6" s="1"/>
  <c r="AS32" i="6"/>
  <c r="FF176" i="3"/>
  <c r="FF183" i="3"/>
  <c r="EP193" i="3" l="1"/>
  <c r="AX33" i="6" s="1"/>
  <c r="EP188" i="3"/>
  <c r="AT33" i="6" s="1"/>
  <c r="FG186" i="3"/>
  <c r="AT32" i="6"/>
  <c r="FG175" i="3"/>
  <c r="FF189" i="3"/>
  <c r="EP192" i="3" l="1"/>
  <c r="AW33" i="6" s="1"/>
  <c r="AV34" i="6"/>
  <c r="FF188" i="3"/>
  <c r="FG176" i="3"/>
  <c r="FF190" i="3" s="1"/>
  <c r="FG185" i="3"/>
  <c r="AS34" i="6" l="1"/>
  <c r="FF193" i="3"/>
  <c r="AX34" i="6" s="1"/>
  <c r="AT34" i="6"/>
  <c r="FF192" i="3"/>
  <c r="AW3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0" authorId="0" shapeId="0" xr:uid="{00000000-0006-0000-0000-000001000000}">
      <text>
        <r>
          <rPr>
            <sz val="10"/>
            <rFont val="Arial"/>
            <family val="2"/>
          </rPr>
          <t xml:space="preserve">Adjust bay and channel details
</t>
        </r>
      </text>
    </comment>
    <comment ref="E11" authorId="0" shapeId="0" xr:uid="{00000000-0006-0000-0000-000002000000}">
      <text>
        <r>
          <rPr>
            <sz val="10"/>
            <rFont val="Arial"/>
            <family val="2"/>
          </rPr>
          <t>Adjust cost of power to Floodpumps</t>
        </r>
      </text>
    </comment>
    <comment ref="E12" authorId="0" shapeId="0" xr:uid="{00000000-0006-0000-0000-000003000000}">
      <text>
        <r>
          <rPr>
            <sz val="10"/>
            <rFont val="Arial"/>
            <family val="2"/>
          </rPr>
          <t>Adjust bay and channel details</t>
        </r>
      </text>
    </comment>
    <comment ref="E16" authorId="0" shapeId="0" xr:uid="{00000000-0006-0000-0000-000004000000}">
      <text>
        <r>
          <rPr>
            <sz val="10"/>
            <rFont val="Arial"/>
            <family val="2"/>
          </rPr>
          <t>Adjust cost of power to Pivot pumps
As well as No of Pivots and Spans</t>
        </r>
      </text>
    </comment>
    <comment ref="E18" authorId="0" shapeId="0" xr:uid="{00000000-0006-0000-0000-000005000000}">
      <text>
        <r>
          <rPr>
            <sz val="10"/>
            <rFont val="Arial"/>
            <family val="2"/>
          </rPr>
          <t>Adjust cost of power to pumps
As well as No of Pivots and Spans</t>
        </r>
      </text>
    </comment>
    <comment ref="E20" authorId="0" shapeId="0" xr:uid="{00000000-0006-0000-0000-000006000000}">
      <text>
        <r>
          <rPr>
            <sz val="10"/>
            <rFont val="Arial"/>
            <family val="2"/>
          </rPr>
          <t>Adjust chemical and fert costs to 100% if doing dryland COP only under Fert and Chemical futher down page</t>
        </r>
      </text>
    </comment>
    <comment ref="E26" authorId="0" shapeId="0" xr:uid="{00000000-0006-0000-0000-000007000000}">
      <text>
        <r>
          <rPr>
            <sz val="10"/>
            <rFont val="Arial"/>
            <family val="2"/>
          </rPr>
          <t>Including check banks
Width of bays in meters plus 1m for checkbanks
If bays 24M enter 25M</t>
        </r>
      </text>
    </comment>
    <comment ref="C27" authorId="0" shapeId="0" xr:uid="{00000000-0006-0000-0000-000008000000}">
      <text>
        <r>
          <rPr>
            <sz val="10"/>
            <rFont val="Arial"/>
            <family val="2"/>
          </rPr>
          <t>Go to 
“Infrastructure Detailed” tab
If you want to change costings</t>
        </r>
      </text>
    </comment>
    <comment ref="E27" authorId="0" shapeId="0" xr:uid="{00000000-0006-0000-0000-000009000000}">
      <text>
        <r>
          <rPr>
            <sz val="10"/>
            <rFont val="Arial"/>
            <family val="2"/>
          </rPr>
          <t>Insert a 0 if using maintenance costs instead of setup costs</t>
        </r>
      </text>
    </comment>
    <comment ref="C28" authorId="0" shapeId="0" xr:uid="{00000000-0006-0000-0000-00000A000000}">
      <text>
        <r>
          <rPr>
            <sz val="10"/>
            <rFont val="Arial"/>
            <family val="2"/>
          </rPr>
          <t>Go to 
“Infrastructure Detailed” tab
If you want to change costings</t>
        </r>
      </text>
    </comment>
    <comment ref="E30" authorId="0" shapeId="0" xr:uid="{00000000-0006-0000-0000-00000B000000}">
      <text>
        <r>
          <rPr>
            <sz val="10"/>
            <rFont val="Arial"/>
            <family val="2"/>
          </rPr>
          <t>Enter actual pivots not paddocks used with towable pivots</t>
        </r>
      </text>
    </comment>
    <comment ref="E31" authorId="0" shapeId="0" xr:uid="{00000000-0006-0000-0000-00000C000000}">
      <text>
        <r>
          <rPr>
            <sz val="10"/>
            <rFont val="Arial"/>
            <family val="2"/>
          </rPr>
          <t>For example:
3 Pivots with 5 spans each
Enter 15 spans</t>
        </r>
      </text>
    </comment>
    <comment ref="E33" authorId="0" shapeId="0" xr:uid="{00000000-0006-0000-0000-00000D000000}">
      <text>
        <r>
          <rPr>
            <sz val="10"/>
            <rFont val="Arial"/>
            <family val="2"/>
          </rPr>
          <t>ML/ha Allocation for Flood from WAP</t>
        </r>
      </text>
    </comment>
    <comment ref="G33" authorId="0" shapeId="0" xr:uid="{00000000-0006-0000-0000-00000E000000}">
      <text>
        <r>
          <rPr>
            <sz val="10"/>
            <rFont val="Arial"/>
            <family val="2"/>
          </rPr>
          <t>Should equal your total flood allocation if using your total flood allocated area</t>
        </r>
      </text>
    </comment>
    <comment ref="E36" authorId="0" shapeId="0" xr:uid="{00000000-0006-0000-0000-00000F000000}">
      <text>
        <r>
          <rPr>
            <sz val="10"/>
            <rFont val="Arial"/>
            <family val="2"/>
          </rPr>
          <t>ML used of tempory water bought in</t>
        </r>
      </text>
    </comment>
    <comment ref="E37" authorId="0" shapeId="0" xr:uid="{00000000-0006-0000-0000-000010000000}">
      <text>
        <r>
          <rPr>
            <sz val="10"/>
            <rFont val="Arial"/>
            <family val="2"/>
          </rPr>
          <t>ML/Ha used from own licence</t>
        </r>
      </text>
    </comment>
    <comment ref="E38" authorId="0" shapeId="0" xr:uid="{00000000-0006-0000-0000-000011000000}">
      <text>
        <r>
          <rPr>
            <sz val="10"/>
            <rFont val="Arial"/>
            <family val="2"/>
          </rPr>
          <t>ML/ha Allocation for Pivot from WAP</t>
        </r>
      </text>
    </comment>
    <comment ref="G38" authorId="0" shapeId="0" xr:uid="{00000000-0006-0000-0000-000012000000}">
      <text>
        <r>
          <rPr>
            <sz val="10"/>
            <rFont val="Arial"/>
            <family val="2"/>
          </rPr>
          <t>Should equal your total Pivot allocation if using total Pivot licenced area</t>
        </r>
      </text>
    </comment>
    <comment ref="E41" authorId="0" shapeId="0" xr:uid="{00000000-0006-0000-0000-000013000000}">
      <text>
        <r>
          <rPr>
            <sz val="10"/>
            <rFont val="Arial"/>
            <family val="2"/>
          </rPr>
          <t>ML used of tempory water bought in</t>
        </r>
      </text>
    </comment>
    <comment ref="E42" authorId="0" shapeId="0" xr:uid="{00000000-0006-0000-0000-000014000000}">
      <text>
        <r>
          <rPr>
            <sz val="10"/>
            <rFont val="Arial"/>
            <family val="2"/>
          </rPr>
          <t>ML/Ha used from own licence</t>
        </r>
      </text>
    </comment>
    <comment ref="E44" authorId="0" shapeId="0" xr:uid="{00000000-0006-0000-0000-000015000000}">
      <text>
        <r>
          <rPr>
            <sz val="10"/>
            <rFont val="Arial"/>
            <family val="2"/>
          </rPr>
          <t>This is your own water allocation</t>
        </r>
      </text>
    </comment>
    <comment ref="G44" authorId="0" shapeId="0" xr:uid="{00000000-0006-0000-0000-000016000000}">
      <text>
        <r>
          <rPr>
            <sz val="10"/>
            <rFont val="Arial"/>
            <family val="2"/>
          </rPr>
          <t xml:space="preserve">This figure is your own water plus temporary water ML
</t>
        </r>
      </text>
    </comment>
    <comment ref="H44" authorId="0" shapeId="0" xr:uid="{00000000-0006-0000-0000-000017000000}">
      <text>
        <r>
          <rPr>
            <sz val="10"/>
            <rFont val="Arial"/>
            <family val="2"/>
          </rPr>
          <t>ML actually used</t>
        </r>
      </text>
    </comment>
    <comment ref="I44" authorId="0" shapeId="0" xr:uid="{00000000-0006-0000-0000-000018000000}">
      <text>
        <r>
          <rPr>
            <sz val="10"/>
            <rFont val="Arial"/>
            <family val="2"/>
          </rPr>
          <t>If negative check ML/Ha used for all types</t>
        </r>
      </text>
    </comment>
    <comment ref="E55" authorId="0" shapeId="0" xr:uid="{00000000-0006-0000-0000-000019000000}">
      <text>
        <r>
          <rPr>
            <sz val="10"/>
            <rFont val="Arial"/>
            <family val="2"/>
          </rPr>
          <t>Defaults to Windrowing if nothing entered here</t>
        </r>
      </text>
    </comment>
    <comment ref="G78" authorId="0" shapeId="0" xr:uid="{00000000-0006-0000-0000-00001A000000}">
      <text>
        <r>
          <rPr>
            <sz val="10"/>
            <rFont val="Arial"/>
            <family val="2"/>
          </rPr>
          <t>Total power bill for seed crop</t>
        </r>
      </text>
    </comment>
    <comment ref="H78" authorId="0" shapeId="0" xr:uid="{00000000-0006-0000-0000-00001B000000}">
      <text>
        <r>
          <rPr>
            <sz val="10"/>
            <rFont val="Arial"/>
            <family val="2"/>
          </rPr>
          <t>Total kWh used for seed crop</t>
        </r>
      </text>
    </comment>
    <comment ref="I78" authorId="0" shapeId="0" xr:uid="{00000000-0006-0000-0000-00001C000000}">
      <text>
        <r>
          <rPr>
            <sz val="10"/>
            <rFont val="Arial"/>
            <family val="2"/>
          </rPr>
          <t>Diesel bill less FTC for seed crop</t>
        </r>
      </text>
    </comment>
    <comment ref="J78" authorId="0" shapeId="0" xr:uid="{00000000-0006-0000-0000-00001D000000}">
      <text>
        <r>
          <rPr>
            <sz val="10"/>
            <rFont val="Arial"/>
            <family val="2"/>
          </rPr>
          <t>Total Diesel L used for seed crop.</t>
        </r>
      </text>
    </comment>
    <comment ref="C89" authorId="0" shapeId="0" xr:uid="{00000000-0006-0000-0000-00001E000000}">
      <text>
        <r>
          <rPr>
            <sz val="10"/>
            <rFont val="Arial"/>
            <family val="2"/>
          </rPr>
          <t>Cu-Mn under insect spraying further down page</t>
        </r>
      </text>
    </comment>
    <comment ref="E94" authorId="0" shapeId="0" xr:uid="{00000000-0006-0000-0000-00001F000000}">
      <text>
        <r>
          <rPr>
            <sz val="10"/>
            <rFont val="Arial"/>
            <family val="2"/>
          </rPr>
          <t>Percentage applied to dry land as compared to irrigated area.
As dry land is usually shut up without full treatments of irrigated areas.
Put 100% if doing only dryland COP</t>
        </r>
      </text>
    </comment>
    <comment ref="E97" authorId="0" shapeId="0" xr:uid="{00000000-0006-0000-0000-000020000000}">
      <text>
        <r>
          <rPr>
            <sz val="10"/>
            <rFont val="Arial"/>
            <family val="2"/>
          </rPr>
          <t>Do not include passes with chemical applications here</t>
        </r>
      </text>
    </comment>
    <comment ref="E123" authorId="0" shapeId="0" xr:uid="{00000000-0006-0000-0000-000021000000}">
      <text>
        <r>
          <rPr>
            <sz val="10"/>
            <rFont val="Arial"/>
            <family val="2"/>
          </rPr>
          <t>Percentage applied to dry land as compared to irrigated area.
As dry land is usually shut up without full treatments of irrigated areas.
Put 100% if doing only dryland COP</t>
        </r>
      </text>
    </comment>
    <comment ref="E125" authorId="0" shapeId="0" xr:uid="{00000000-0006-0000-0000-000022000000}">
      <text>
        <r>
          <rPr>
            <sz val="10"/>
            <rFont val="Arial"/>
            <family val="2"/>
          </rPr>
          <t>Actual spray passes</t>
        </r>
      </text>
    </comment>
    <comment ref="E126" authorId="0" shapeId="0" xr:uid="{00000000-0006-0000-0000-000023000000}">
      <text>
        <r>
          <rPr>
            <sz val="10"/>
            <rFont val="Arial"/>
            <family val="2"/>
          </rPr>
          <t>Spraying perimeters check banks and channels</t>
        </r>
      </text>
    </comment>
    <comment ref="F140" authorId="0" shapeId="0" xr:uid="{00000000-0006-0000-0000-000024000000}">
      <text>
        <r>
          <rPr>
            <sz val="10"/>
            <rFont val="Arial"/>
            <family val="2"/>
          </rPr>
          <t>If costing single paddock put as 100% of crop dried</t>
        </r>
      </text>
    </comment>
    <comment ref="F147" authorId="0" shapeId="0" xr:uid="{00000000-0006-0000-0000-000025000000}">
      <text>
        <r>
          <rPr>
            <sz val="10"/>
            <rFont val="Arial"/>
            <family val="2"/>
          </rPr>
          <t>Adjust for No of paddocks in COP with moisture probes</t>
        </r>
      </text>
    </comment>
    <comment ref="G150" authorId="0" shapeId="0" xr:uid="{00000000-0006-0000-0000-000026000000}">
      <text>
        <r>
          <rPr>
            <sz val="10"/>
            <rFont val="Arial"/>
            <family val="2"/>
          </rPr>
          <t>Should equal water levy bill when total ML used in COP</t>
        </r>
      </text>
    </comment>
    <comment ref="E161" authorId="0" shapeId="0" xr:uid="{00000000-0006-0000-0000-000027000000}">
      <text>
        <r>
          <rPr>
            <sz val="10"/>
            <rFont val="Arial"/>
            <family val="2"/>
          </rPr>
          <t>Include
Net Pay
PAYG
Work Cover
Superannuation
Phone
Vehicles
House
Training
Other?</t>
        </r>
      </text>
    </comment>
    <comment ref="E169" authorId="0" shapeId="0" xr:uid="{00000000-0006-0000-0000-000028000000}">
      <text>
        <r>
          <rPr>
            <sz val="10"/>
            <rFont val="Arial"/>
            <family val="2"/>
          </rPr>
          <t>Adjust No. of field bins for all of farm or single paddock</t>
        </r>
      </text>
    </comment>
  </commentList>
</comments>
</file>

<file path=xl/sharedStrings.xml><?xml version="1.0" encoding="utf-8"?>
<sst xmlns="http://schemas.openxmlformats.org/spreadsheetml/2006/main" count="3810" uniqueCount="478">
  <si>
    <t>COST OF PRODUCTION FOR LUCERNE SEED</t>
  </si>
  <si>
    <t>WORKSHEET</t>
  </si>
  <si>
    <t>When all data is entered, adjust the items next to the light blue squares for quick comparisons</t>
  </si>
  <si>
    <t>DATE</t>
  </si>
  <si>
    <t>AREA NAME</t>
  </si>
  <si>
    <t>Belongtoabloke</t>
  </si>
  <si>
    <t>AREA FLOOD</t>
  </si>
  <si>
    <t>Area Flood Electric Pumps</t>
  </si>
  <si>
    <t>ha</t>
  </si>
  <si>
    <t>acres</t>
  </si>
  <si>
    <t>No of pumps electric</t>
  </si>
  <si>
    <t>Area Flood Diesel Pumps</t>
  </si>
  <si>
    <t>No of pumps diesel</t>
  </si>
  <si>
    <t>Total area under Flood</t>
  </si>
  <si>
    <t>AREA PIVOT</t>
  </si>
  <si>
    <t>Area under Electric Pivot</t>
  </si>
  <si>
    <t>No of Pivots Electric</t>
  </si>
  <si>
    <t>Area under Diesel Pivot</t>
  </si>
  <si>
    <t>No of Pivots Diesel</t>
  </si>
  <si>
    <t>Total area Under Pivot</t>
  </si>
  <si>
    <t>AREA DRYLAND</t>
  </si>
  <si>
    <t>Dry Land for Seed</t>
  </si>
  <si>
    <t>TOTAL AREA</t>
  </si>
  <si>
    <t>Total area under Lucerne</t>
  </si>
  <si>
    <t>FLOOD</t>
  </si>
  <si>
    <t>Cost of power to ALL Flood pumps</t>
  </si>
  <si>
    <t>Distance of Channel in km's</t>
  </si>
  <si>
    <t>km</t>
  </si>
  <si>
    <t>No of flood Bays</t>
  </si>
  <si>
    <t>Gates per bay</t>
  </si>
  <si>
    <t>Width of Bays</t>
  </si>
  <si>
    <t xml:space="preserve">M </t>
  </si>
  <si>
    <t>Use Set up cost of Flood Irrigation</t>
  </si>
  <si>
    <t>(insert a number 1 here if using new area set up costs)</t>
  </si>
  <si>
    <t>Use maintenance costs for flood area</t>
  </si>
  <si>
    <t>PIVOTS</t>
  </si>
  <si>
    <t>Cost of power to ALL Pivot pumps</t>
  </si>
  <si>
    <t>No of Pivots</t>
  </si>
  <si>
    <t>No of spans including all Pivots</t>
  </si>
  <si>
    <t>WATER</t>
  </si>
  <si>
    <t>WAP/ML/Ha</t>
  </si>
  <si>
    <t>Av flow rate flood pump</t>
  </si>
  <si>
    <t xml:space="preserve">KL/hr </t>
  </si>
  <si>
    <t>Bought in temporary water</t>
  </si>
  <si>
    <t>ML</t>
  </si>
  <si>
    <t>$ / ML</t>
  </si>
  <si>
    <t>Temporary water used</t>
  </si>
  <si>
    <t>ML/ha</t>
  </si>
  <si>
    <t>ML/ha available</t>
  </si>
  <si>
    <t>ML / Ha used on seed crop</t>
  </si>
  <si>
    <t>ML Used Flood</t>
  </si>
  <si>
    <t>PIVOT</t>
  </si>
  <si>
    <t>Av flow rate pivot irrigation</t>
  </si>
  <si>
    <t>ML Used Pivot</t>
  </si>
  <si>
    <t>Balance of ML available</t>
  </si>
  <si>
    <t>ML Used Total</t>
  </si>
  <si>
    <t>Allocation used</t>
  </si>
  <si>
    <t>Total Water Licence Allocation</t>
  </si>
  <si>
    <t>SEED YIELD</t>
  </si>
  <si>
    <t>Off Header</t>
  </si>
  <si>
    <t>Clean / Ha</t>
  </si>
  <si>
    <t>$ / Ha</t>
  </si>
  <si>
    <t>Seed yield dirty off Flood Irrigation</t>
  </si>
  <si>
    <t>kg/ha</t>
  </si>
  <si>
    <t>Seed yield dirty off Pivot Irrigation</t>
  </si>
  <si>
    <t>Seed yield dirty off Dry Land Paddocks</t>
  </si>
  <si>
    <t>Clean out</t>
  </si>
  <si>
    <t>Expected $ / kg</t>
  </si>
  <si>
    <t>No of labour units on lucerne</t>
  </si>
  <si>
    <t>Windrowing</t>
  </si>
  <si>
    <t>Desiccating</t>
  </si>
  <si>
    <t>Ha Total</t>
  </si>
  <si>
    <t>INFRASTRUCTURE</t>
  </si>
  <si>
    <t>$</t>
  </si>
  <si>
    <t>kWh</t>
  </si>
  <si>
    <t>L Diesel</t>
  </si>
  <si>
    <t>Size of electric motor kW</t>
  </si>
  <si>
    <t xml:space="preserve">hp </t>
  </si>
  <si>
    <t>Cents per kWh</t>
  </si>
  <si>
    <t>Litres of Diesel used per Hr</t>
  </si>
  <si>
    <t>Diesel cents/L after FTC rebate</t>
  </si>
  <si>
    <t>L</t>
  </si>
  <si>
    <t>hp</t>
  </si>
  <si>
    <t>Totals</t>
  </si>
  <si>
    <t>Establishment Costs</t>
  </si>
  <si>
    <t>Seeding rate</t>
  </si>
  <si>
    <t>$ per kg</t>
  </si>
  <si>
    <t>$/kg</t>
  </si>
  <si>
    <t>Years harvested</t>
  </si>
  <si>
    <t xml:space="preserve">yrs </t>
  </si>
  <si>
    <t>FERTILISER</t>
  </si>
  <si>
    <t>Granular</t>
  </si>
  <si>
    <t>$ / T</t>
  </si>
  <si>
    <t>T or L used</t>
  </si>
  <si>
    <t>Kg / ha</t>
  </si>
  <si>
    <t>$ / HA</t>
  </si>
  <si>
    <t>Single Super</t>
  </si>
  <si>
    <t>2 and 1</t>
  </si>
  <si>
    <t>Liquid Fertiliser</t>
  </si>
  <si>
    <t>$ / L</t>
  </si>
  <si>
    <t>L/ha</t>
  </si>
  <si>
    <t>% used on dryland compared to above</t>
  </si>
  <si>
    <t>Applications</t>
  </si>
  <si>
    <t>Freight / T</t>
  </si>
  <si>
    <t>CONTRACTOR RATES</t>
  </si>
  <si>
    <t>Applications Granular</t>
  </si>
  <si>
    <t>Applications Liquid</t>
  </si>
  <si>
    <t>CHEMICALS</t>
  </si>
  <si>
    <t>Product</t>
  </si>
  <si>
    <t>Drum Size</t>
  </si>
  <si>
    <t xml:space="preserve">   $    Drum</t>
  </si>
  <si>
    <t>rate/ha</t>
  </si>
  <si>
    <t>WINTER CLEANING</t>
  </si>
  <si>
    <t>Li 700</t>
  </si>
  <si>
    <t>Diuron</t>
  </si>
  <si>
    <t>Dimethoate</t>
  </si>
  <si>
    <t>Sprayseed</t>
  </si>
  <si>
    <t xml:space="preserve">SPRING CLEANING </t>
  </si>
  <si>
    <t>Hasten</t>
  </si>
  <si>
    <t>Buttress</t>
  </si>
  <si>
    <t>Spinnaker</t>
  </si>
  <si>
    <t xml:space="preserve">INSECT SPRAYING </t>
  </si>
  <si>
    <t>Applications of Product / season</t>
  </si>
  <si>
    <t>Fastac</t>
  </si>
  <si>
    <t>Cu – Mn</t>
  </si>
  <si>
    <t xml:space="preserve">OTHER SPRAYING </t>
  </si>
  <si>
    <t>Other</t>
  </si>
  <si>
    <t>SPRAY CONTRACTOR</t>
  </si>
  <si>
    <t>Applications per year</t>
  </si>
  <si>
    <t>SANITISATION /OVERSPRAYS</t>
  </si>
  <si>
    <t>Percentage of total area</t>
  </si>
  <si>
    <t>PEST CONTROL</t>
  </si>
  <si>
    <t>Bag size kg</t>
  </si>
  <si>
    <t>$ / Bag</t>
  </si>
  <si>
    <t>$ / kg</t>
  </si>
  <si>
    <t>Kg/ha/yr</t>
  </si>
  <si>
    <t>Snail Bait</t>
  </si>
  <si>
    <t>POLLINATION</t>
  </si>
  <si>
    <t>No / Ha</t>
  </si>
  <si>
    <t>$ / Hive</t>
  </si>
  <si>
    <t>Hives</t>
  </si>
  <si>
    <t>SEED CLEANING AND QA</t>
  </si>
  <si>
    <t>Seed Cleaning</t>
  </si>
  <si>
    <t>Seed QA and Levy's</t>
  </si>
  <si>
    <t>Drying Seed</t>
  </si>
  <si>
    <t>% crop dried</t>
  </si>
  <si>
    <t>Certification</t>
  </si>
  <si>
    <t>Photosanitory</t>
  </si>
  <si>
    <t>CROP MONITORING</t>
  </si>
  <si>
    <t>Crop Monitoring Irrigated Area</t>
  </si>
  <si>
    <t>Crop Monitoring Dryland Area</t>
  </si>
  <si>
    <t>Irrigation Scheduling</t>
  </si>
  <si>
    <t>No of probes</t>
  </si>
  <si>
    <t>LEVY'S AND MEMBERSHIP</t>
  </si>
  <si>
    <t>Water Levy</t>
  </si>
  <si>
    <t>Uncleaned/T</t>
  </si>
  <si>
    <t>Cleaned/T</t>
  </si>
  <si>
    <t>Admin fee / kg</t>
  </si>
  <si>
    <t>Admin Fee</t>
  </si>
  <si>
    <t>LA Membership</t>
  </si>
  <si>
    <t>LABOUR</t>
  </si>
  <si>
    <t>Ha per labour unit</t>
  </si>
  <si>
    <t>% of annual time on Pivot Lucerne</t>
  </si>
  <si>
    <t>% of annual time on Flood lucerne</t>
  </si>
  <si>
    <t>% of annual time on Dry Land</t>
  </si>
  <si>
    <t xml:space="preserve">Balc of time on other general farm work </t>
  </si>
  <si>
    <t xml:space="preserve">Av entitlement including all wage fees </t>
  </si>
  <si>
    <t>HARVEST</t>
  </si>
  <si>
    <t>L / Drum</t>
  </si>
  <si>
    <t>$ / Drum</t>
  </si>
  <si>
    <t>L / Ha</t>
  </si>
  <si>
    <t>Wind Rowing</t>
  </si>
  <si>
    <t xml:space="preserve">$ / Hr </t>
  </si>
  <si>
    <t xml:space="preserve">ha/hr </t>
  </si>
  <si>
    <t>Reaping</t>
  </si>
  <si>
    <t>On Farm Storage (No of Bins)</t>
  </si>
  <si>
    <t>Freight</t>
  </si>
  <si>
    <r>
      <t xml:space="preserve"> COST OF PRODUCTION FOR LUCERNE SEED</t>
    </r>
    <r>
      <rPr>
        <sz val="10"/>
        <rFont val="Arial"/>
        <family val="2"/>
      </rPr>
      <t xml:space="preserve"> </t>
    </r>
  </si>
  <si>
    <t>Workings</t>
  </si>
  <si>
    <t>IRRIGATION INFRASTRUCTURE</t>
  </si>
  <si>
    <t>ENTER DATA INTO YELLOW FIELDS ONLY</t>
  </si>
  <si>
    <t>Machine calculations on:-</t>
  </si>
  <si>
    <t>Drill Bore and Casing</t>
  </si>
  <si>
    <t>FLOOD BAYS MAINTNENANCE COSTS</t>
  </si>
  <si>
    <t>POWER LINES TO FLOOD PUMPS</t>
  </si>
  <si>
    <t>POWER LINES TO PIVOT PUMPS</t>
  </si>
  <si>
    <t xml:space="preserve"> To Eliminate Finance costs enter cash applied equal to cost of item</t>
  </si>
  <si>
    <r>
      <t xml:space="preserve">Total ownership cost, operating costs </t>
    </r>
    <r>
      <rPr>
        <u/>
        <sz val="10"/>
        <color indexed="53"/>
        <rFont val="Arial"/>
        <family val="2"/>
      </rPr>
      <t>&amp; replacement cos</t>
    </r>
    <r>
      <rPr>
        <sz val="10"/>
        <color indexed="53"/>
        <rFont val="Arial"/>
        <family val="2"/>
      </rPr>
      <t>t per ha</t>
    </r>
  </si>
  <si>
    <t>Drill bore and casing</t>
  </si>
  <si>
    <t xml:space="preserve">Interest rate on purchase </t>
  </si>
  <si>
    <t>Calculating Annual Ownership Cost of a Machine</t>
  </si>
  <si>
    <t>Interest rate on build costs</t>
  </si>
  <si>
    <t>Length of loan in years</t>
  </si>
  <si>
    <t>yrs</t>
  </si>
  <si>
    <t>Cost of laser levelling per Ha</t>
  </si>
  <si>
    <t>Cost to drill and case bore</t>
  </si>
  <si>
    <t>Interest rate</t>
  </si>
  <si>
    <t>Total area of Floodbays</t>
  </si>
  <si>
    <t>Cost to clean hole and test flow</t>
  </si>
  <si>
    <t>Current value of all bores to drill and case</t>
  </si>
  <si>
    <t>Current value of machine</t>
  </si>
  <si>
    <t>Total cost of lase levelling over area</t>
  </si>
  <si>
    <t>Total cost of laser levelling</t>
  </si>
  <si>
    <t>Current value of water purchased</t>
  </si>
  <si>
    <t>Total cost to drill, case, clean and test bore</t>
  </si>
  <si>
    <t>Cash to put towards cost of Capital</t>
  </si>
  <si>
    <t>Distance of all channels combined in km</t>
  </si>
  <si>
    <t>Cash to put towards cost of Water</t>
  </si>
  <si>
    <t>Cash to put towards new bore(s)</t>
  </si>
  <si>
    <t>Cost to build channel per 100M (no gates)</t>
  </si>
  <si>
    <t>Scrap value / trade in value</t>
  </si>
  <si>
    <t xml:space="preserve">Expected life of machine </t>
  </si>
  <si>
    <t>$ / 100M</t>
  </si>
  <si>
    <t>Cost to repair channel per 100M (no gates)</t>
  </si>
  <si>
    <t>Expected life of water use</t>
  </si>
  <si>
    <t>Expected life of machine</t>
  </si>
  <si>
    <t>Cost to build check banks per 100M</t>
  </si>
  <si>
    <t>$ / hr</t>
  </si>
  <si>
    <t>Scrap value of machine in</t>
  </si>
  <si>
    <t>years</t>
  </si>
  <si>
    <t>Cost to repair check banks per 100M</t>
  </si>
  <si>
    <t>Cost to repair check banks</t>
  </si>
  <si>
    <t>No of gates per bay</t>
  </si>
  <si>
    <t>Current value if invested</t>
  </si>
  <si>
    <t>@</t>
  </si>
  <si>
    <t>Cost per gate installed</t>
  </si>
  <si>
    <t>Today's scrap value if invested</t>
  </si>
  <si>
    <t>Bore Electric Flood Irrigation</t>
  </si>
  <si>
    <t>Total number of flood bays</t>
  </si>
  <si>
    <t>Expected life of new gates</t>
  </si>
  <si>
    <t>Diff between current &amp; scrap values if invested $</t>
  </si>
  <si>
    <t>Cost of motor,bore head and delivery</t>
  </si>
  <si>
    <t>Annuity required to meet the difference $</t>
  </si>
  <si>
    <t>Cash to put towards item</t>
  </si>
  <si>
    <t>TOTAL COST TO SET UP FLOOD IRRIGATION</t>
  </si>
  <si>
    <t>Interest on scrap value $</t>
  </si>
  <si>
    <t>Annual cost of owning machine $</t>
  </si>
  <si>
    <t>Annual cost of aquiring water $</t>
  </si>
  <si>
    <t>Loan amount on original cost $</t>
  </si>
  <si>
    <t>Expected lifetime hours of Motor</t>
  </si>
  <si>
    <t>hrs</t>
  </si>
  <si>
    <t>Annual cost of ownership as a % of original purchase price</t>
  </si>
  <si>
    <t>Cost of Column and Pump</t>
  </si>
  <si>
    <t>Cash towards Column and Pump</t>
  </si>
  <si>
    <t>Current value of all set up costs</t>
  </si>
  <si>
    <t>Annual cost of owning machine</t>
  </si>
  <si>
    <t>Estimated life of machine</t>
  </si>
  <si>
    <t>Savings for following new machine</t>
  </si>
  <si>
    <t>Annual cost of owning and operating machine</t>
  </si>
  <si>
    <t>Expected lifetime hours of Pump and Column</t>
  </si>
  <si>
    <t>Total Ha under Flood Eleictric</t>
  </si>
  <si>
    <t>Total Ha under Flood Diesel</t>
  </si>
  <si>
    <t>Total area under Pivot Electric</t>
  </si>
  <si>
    <t>Total Ha under Pivot Diesel</t>
  </si>
  <si>
    <t>Loan amount required</t>
  </si>
  <si>
    <t>ha under flood</t>
  </si>
  <si>
    <t>ML acquired</t>
  </si>
  <si>
    <t>Expected life of existing machine</t>
  </si>
  <si>
    <t xml:space="preserve">Annual cost of ownership     </t>
  </si>
  <si>
    <t>ha under pivot</t>
  </si>
  <si>
    <t>Hours = Ha x ML/flow rate</t>
  </si>
  <si>
    <t>Current price of existing machine</t>
  </si>
  <si>
    <t xml:space="preserve">Shedding (if applicable)     </t>
  </si>
  <si>
    <t>Flood Electric</t>
  </si>
  <si>
    <t>Reg &amp; Insurance costs</t>
  </si>
  <si>
    <t>Inflation rate of new machine price per year</t>
  </si>
  <si>
    <t>length of loan in years</t>
  </si>
  <si>
    <t xml:space="preserve">Repairs % of purchase value per year     </t>
  </si>
  <si>
    <t>Flood Diesel</t>
  </si>
  <si>
    <t>Shedding if applicable</t>
  </si>
  <si>
    <t>Expected new price in</t>
  </si>
  <si>
    <t>years at above inflation</t>
  </si>
  <si>
    <t xml:space="preserve">TOTAL OVERHEAD COSTS     </t>
  </si>
  <si>
    <t>TOTAL OVERHEAD COSTS  PER HA</t>
  </si>
  <si>
    <t>Expected life of maintenance</t>
  </si>
  <si>
    <t>Pivot Electric</t>
  </si>
  <si>
    <t>Av kW power per motor</t>
  </si>
  <si>
    <t>Units (e.g. hours) per week</t>
  </si>
  <si>
    <t>Units per year (e.g. hours)</t>
  </si>
  <si>
    <t>Units (e.g. hours) per year</t>
  </si>
  <si>
    <t>Hours per year used</t>
  </si>
  <si>
    <t>Scrap value of infrastructure in</t>
  </si>
  <si>
    <t>Pivot Flood</t>
  </si>
  <si>
    <t>expected scrap value of existing machine</t>
  </si>
  <si>
    <t>trade in</t>
  </si>
  <si>
    <t xml:space="preserve">Fuel litres/hour     </t>
  </si>
  <si>
    <t xml:space="preserve">Repairs % of purchase value per 1000 hours     </t>
  </si>
  <si>
    <t>% of deposit preferred for next machine</t>
  </si>
  <si>
    <t>%</t>
  </si>
  <si>
    <t>saved</t>
  </si>
  <si>
    <t xml:space="preserve">cents per litre     </t>
  </si>
  <si>
    <t>cents per kW</t>
  </si>
  <si>
    <t>Tax on savings for new machine</t>
  </si>
  <si>
    <t>less tax</t>
  </si>
  <si>
    <t>Oil changes</t>
  </si>
  <si>
    <t xml:space="preserve">10% of fuel costs     </t>
  </si>
  <si>
    <t>Water levy</t>
  </si>
  <si>
    <t>FE</t>
  </si>
  <si>
    <t>replacement cost per unit(year)</t>
  </si>
  <si>
    <t>FD</t>
  </si>
  <si>
    <t>Power Bill for all Flood Irrigation Motors</t>
  </si>
  <si>
    <t>Cash amount needed for next purchase</t>
  </si>
  <si>
    <t xml:space="preserve">TOTAL OPERATING COSTS     </t>
  </si>
  <si>
    <t>PE</t>
  </si>
  <si>
    <t>$ / Year</t>
  </si>
  <si>
    <t>TOTAL OPERATING COSTS  PER HA</t>
  </si>
  <si>
    <t>PD</t>
  </si>
  <si>
    <t>Bore Diesel Flood Irrigation</t>
  </si>
  <si>
    <t xml:space="preserve">Extra Water Levy Payments    </t>
  </si>
  <si>
    <t>Cost of motor and angle drive</t>
  </si>
  <si>
    <t>Cash to put towards Motor and angle drive</t>
  </si>
  <si>
    <t>Cost of Ownership</t>
  </si>
  <si>
    <t>replacement cost per ha</t>
  </si>
  <si>
    <t>Cost of Ownership plus Water Levy</t>
  </si>
  <si>
    <t>replacement cost per unit(hour)</t>
  </si>
  <si>
    <t>Insurance costs</t>
  </si>
  <si>
    <t>replacement cost per unit Ha</t>
  </si>
  <si>
    <t>Fuel litres per hour</t>
  </si>
  <si>
    <t>Cents per litre after FTC (Full price less 38.143c/L)</t>
  </si>
  <si>
    <t>Fuel Bill for all Flood Irrigation Diesel Motors</t>
  </si>
  <si>
    <t>Bore Electric Pivot Irrigation</t>
  </si>
  <si>
    <t>Loan amont on original cost $</t>
  </si>
  <si>
    <t>Power Bill for all Pivot Irrigation Motors</t>
  </si>
  <si>
    <t>Bore Diesel Pivot Irrigation</t>
  </si>
  <si>
    <t>Fuel Bill for all Pivot Irrigation Diesel Motors</t>
  </si>
  <si>
    <t xml:space="preserve">PIVOT REPLACEMENT COST </t>
  </si>
  <si>
    <t>No of pivots spans</t>
  </si>
  <si>
    <t>$ per span</t>
  </si>
  <si>
    <t>per span</t>
  </si>
  <si>
    <t>Total purchase price of all Pivots</t>
  </si>
  <si>
    <t>Plus tempory water bought in</t>
  </si>
  <si>
    <t>Scrap value / trade in value per span</t>
  </si>
  <si>
    <t xml:space="preserve">Repairs % of purchase value per year    </t>
  </si>
  <si>
    <t>Percentage of Pivot water licence used on seed crop</t>
  </si>
  <si>
    <t>FLOOD BAYS AND CHANNELS TO SET UP</t>
  </si>
  <si>
    <t xml:space="preserve">Interest rate on build costs </t>
  </si>
  <si>
    <t>Total cost of Flood Infrastructure</t>
  </si>
  <si>
    <t>Expected life of loan</t>
  </si>
  <si>
    <t>Laser Levelling per Ha</t>
  </si>
  <si>
    <t>$/ha</t>
  </si>
  <si>
    <t>Width of bays in Metres including check-bank on one side</t>
  </si>
  <si>
    <t>metres</t>
  </si>
  <si>
    <t>Check bank building per 100M</t>
  </si>
  <si>
    <t>$ /100m</t>
  </si>
  <si>
    <t>Channel building per 100M (not including gates)</t>
  </si>
  <si>
    <t>Distance of all Channels including delivery in KM</t>
  </si>
  <si>
    <t>Automation per bay</t>
  </si>
  <si>
    <t xml:space="preserve"> FLOOD BAYS AND CHANNELS   MAINTENANCE </t>
  </si>
  <si>
    <t>Width of bays in Metres including checkbank on one side</t>
  </si>
  <si>
    <t>Checkbank maintenance (grading)</t>
  </si>
  <si>
    <t>$/HR</t>
  </si>
  <si>
    <t>Channel maintenance per 100M (not including gates)</t>
  </si>
  <si>
    <t>Time between checkbank grading in years</t>
  </si>
  <si>
    <t>Distance of all Cannels including delivery in KM</t>
  </si>
  <si>
    <t>Gate automation per flood bay</t>
  </si>
  <si>
    <t>Expected life of laser levelling</t>
  </si>
  <si>
    <t>COST OF POWERLINES TO PUMP SITE(S) FLOOD</t>
  </si>
  <si>
    <t>Interest rate on loan</t>
  </si>
  <si>
    <t>Cost of powerlines to all FLOOD pumps</t>
  </si>
  <si>
    <t>Cash to put towards Power Line Supply</t>
  </si>
  <si>
    <t>No of Flood pumps electric</t>
  </si>
  <si>
    <t>Years of loan</t>
  </si>
  <si>
    <t>COST OF POWERLINES TO PUMP SITE(S) PIVOT</t>
  </si>
  <si>
    <t>Cost of powerlines to PIVOT pump sites</t>
  </si>
  <si>
    <t>Extra Permanent Water Licence Purchased</t>
  </si>
  <si>
    <t>WHEN USING NEW PERMENANT WATER TYPE IN TOTAL AVAILABLE IRRIGATION AREA</t>
  </si>
  <si>
    <t>Area in COP Ha</t>
  </si>
  <si>
    <t>Enter total area of irrigated area (including new extra Ha if any)</t>
  </si>
  <si>
    <t>Cost of water per ML</t>
  </si>
  <si>
    <t>ML Purchased</t>
  </si>
  <si>
    <t>Total cost of Permanent Water Aquired</t>
  </si>
  <si>
    <t>Cash to put towards Purchase</t>
  </si>
  <si>
    <t>Expected Life time of Licenced Water</t>
  </si>
  <si>
    <t>LUCERNE SEED COST OF PRODUCTION</t>
  </si>
  <si>
    <t>Cleaned</t>
  </si>
  <si>
    <t>YIELD</t>
  </si>
  <si>
    <t>Ha</t>
  </si>
  <si>
    <t>Flood</t>
  </si>
  <si>
    <t>kg</t>
  </si>
  <si>
    <t>Pivot</t>
  </si>
  <si>
    <t>Dry Land</t>
  </si>
  <si>
    <t>Yield average</t>
  </si>
  <si>
    <t>Av yield</t>
  </si>
  <si>
    <t>TOTAL</t>
  </si>
  <si>
    <t>T</t>
  </si>
  <si>
    <t>clean out</t>
  </si>
  <si>
    <t>CLEANED WEIGHT</t>
  </si>
  <si>
    <t>DRY LAND</t>
  </si>
  <si>
    <t>AREA</t>
  </si>
  <si>
    <t>ML / Ha</t>
  </si>
  <si>
    <t>Kl / Hr</t>
  </si>
  <si>
    <t>c/kg</t>
  </si>
  <si>
    <t>Flood Electric Running Costs</t>
  </si>
  <si>
    <t>Flood Bore Costs Electric</t>
  </si>
  <si>
    <t>Flood Diesel Running Costs</t>
  </si>
  <si>
    <t>Flood Bore Costs Diesel</t>
  </si>
  <si>
    <t>Set up Costs Flood</t>
  </si>
  <si>
    <t>Maintenance Costs Flood</t>
  </si>
  <si>
    <t>TOTAL FLOOD</t>
  </si>
  <si>
    <t>Acquired Permanent Water FE</t>
  </si>
  <si>
    <t>Pivot Electric Running Costs</t>
  </si>
  <si>
    <t>Acquired Permanent Water FD</t>
  </si>
  <si>
    <t>Pivot Bore Costs Electric</t>
  </si>
  <si>
    <t>Temporary Water FE</t>
  </si>
  <si>
    <t>Pivot Diesel Running Costs</t>
  </si>
  <si>
    <t>Temporary Water FD</t>
  </si>
  <si>
    <t>Pivot Bore Costs Diesel</t>
  </si>
  <si>
    <t>Set up Costs Pivot</t>
  </si>
  <si>
    <t>TOTAL PIVOT</t>
  </si>
  <si>
    <t>TOTAL IRRIGATED</t>
  </si>
  <si>
    <t>ML Used</t>
  </si>
  <si>
    <t>TOTAL AREA LUCERNE SEED</t>
  </si>
  <si>
    <t>$/year</t>
  </si>
  <si>
    <t>Acquired Permanent Water PE</t>
  </si>
  <si>
    <t>ESTABLISHMENT YEAR</t>
  </si>
  <si>
    <t>Acquired Permanent Water PD</t>
  </si>
  <si>
    <t>Seed</t>
  </si>
  <si>
    <t>Temporary Water Elect Pivot</t>
  </si>
  <si>
    <t>Fert+Chem+Pest+60%Seed Cleaning &amp; QA Div Cert Years + 1</t>
  </si>
  <si>
    <t>Temporary Water Diesel Pivot</t>
  </si>
  <si>
    <t>Contract Spreading</t>
  </si>
  <si>
    <t>TOTAL FERTILISER</t>
  </si>
  <si>
    <t>Winter Cleaning</t>
  </si>
  <si>
    <t>Spring Cleaning</t>
  </si>
  <si>
    <t>Insects</t>
  </si>
  <si>
    <t>Sanitisation</t>
  </si>
  <si>
    <t>Contract Spraying</t>
  </si>
  <si>
    <t>TOTAL CHEMICALS</t>
  </si>
  <si>
    <t>Crop Monitoring</t>
  </si>
  <si>
    <t>]</t>
  </si>
  <si>
    <t>TOTAL SEED QA &amp; LEVY'S</t>
  </si>
  <si>
    <t>Header</t>
  </si>
  <si>
    <t>On Farm Storage</t>
  </si>
  <si>
    <t>TOTAL HARVEST</t>
  </si>
  <si>
    <t>$ / KG</t>
  </si>
  <si>
    <t>Electric</t>
  </si>
  <si>
    <t>Diesel</t>
  </si>
  <si>
    <t>Lucerne Australia has set up this cost of production as a guide only, therefore is not liable for any actions you take from the results formed within. You must obtain your own figures and calculations before making any decisions.</t>
  </si>
  <si>
    <t>Margin on COP @</t>
  </si>
  <si>
    <t>Average price to cover cost of production</t>
  </si>
  <si>
    <t>Av $ / Ha</t>
  </si>
  <si>
    <t>Average Margin on COP / HA</t>
  </si>
  <si>
    <t>T of seed clean</t>
  </si>
  <si>
    <t>Total cost of production</t>
  </si>
  <si>
    <t>Total Margin @</t>
  </si>
  <si>
    <t>Margin @</t>
  </si>
  <si>
    <t>Yield Average</t>
  </si>
  <si>
    <t>Extra Water Acquired</t>
  </si>
  <si>
    <t>`</t>
  </si>
  <si>
    <t>SEED CLEANING, QA AND CROP MONITORING</t>
  </si>
  <si>
    <t>Frieght</t>
  </si>
  <si>
    <t>Margin on COP / Ha</t>
  </si>
  <si>
    <t>Lucerne Australia has set up this cost of production as a guide only, therefore is not liable for any actions you take from the results formed within. You must obtain your own figures and calculations before making any financial decisions.</t>
  </si>
  <si>
    <t>Cost of Column and pump</t>
  </si>
  <si>
    <t>Pivots</t>
  </si>
  <si>
    <t>Temporary Water</t>
  </si>
  <si>
    <t>New Permenant Water</t>
  </si>
  <si>
    <t>Av COP per kg Clean Seed</t>
  </si>
  <si>
    <t>Use to adjust scales in graphs</t>
  </si>
  <si>
    <t>Yield</t>
  </si>
  <si>
    <t>$/MCOP/HA</t>
  </si>
  <si>
    <t>c/kg COP</t>
  </si>
  <si>
    <t>Av COP/kg</t>
  </si>
  <si>
    <t>COP $/ ha</t>
  </si>
  <si>
    <t>T COP</t>
  </si>
  <si>
    <t>M COP</t>
  </si>
  <si>
    <t>Start from             kg/ha clean</t>
  </si>
  <si>
    <t>Yield        Increments</t>
  </si>
  <si>
    <t>Terbyne</t>
  </si>
  <si>
    <t>Sharpen</t>
  </si>
  <si>
    <t>Paraquat</t>
  </si>
  <si>
    <t>AMS</t>
  </si>
  <si>
    <t>Clethodim 240</t>
  </si>
  <si>
    <t>Clethodim 240 (Lovegrass spray)</t>
  </si>
  <si>
    <t>Chlorprifos</t>
  </si>
  <si>
    <t>Hy-Mal</t>
  </si>
  <si>
    <t>Lucerne Lift/Up</t>
  </si>
  <si>
    <t>Moly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</si>
</sst>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#,##0.0"/>
    <numFmt numFmtId="165" formatCode="#,##0\ ;\-#,##0\ ;&quot; -&quot;#\ ;@\ "/>
    <numFmt numFmtId="166" formatCode="d\ mmmm\ yyyy"/>
    <numFmt numFmtId="167" formatCode="[$$-C09]#,##0.00;[Red]\-[$$-C09]#,##0.00"/>
    <numFmt numFmtId="168" formatCode="[$$-C09]#,##0;[Red]\-[$$-C09]#,##0"/>
    <numFmt numFmtId="169" formatCode="#,##0.00\ ;\-#,##0.00\ ;&quot; -&quot;#\ ;@\ "/>
    <numFmt numFmtId="170" formatCode="&quot; $&quot;#,##0\ ;&quot;-$&quot;#,##0\ ;&quot; $-&quot;#\ ;@\ "/>
    <numFmt numFmtId="171" formatCode="0.000"/>
    <numFmt numFmtId="172" formatCode="0.0"/>
    <numFmt numFmtId="173" formatCode="[$$-C09]#,##0.00000;[Red]\-[$$-C09]#,##0.00000"/>
    <numFmt numFmtId="174" formatCode="_-* #,##0_-;\-* #,##0_-;_-* \-??_-;_-@_-"/>
    <numFmt numFmtId="175" formatCode="_-* #,##0.00_-;\-* #,##0.00_-;_-* \-??_-;_-@_-"/>
    <numFmt numFmtId="176" formatCode="_-\$* #,##0.00_-;&quot;-$&quot;* #,##0.00_-;_-\$* \-??_-;_-@_-"/>
    <numFmt numFmtId="177" formatCode="_-\$* #,##0_-;&quot;-$&quot;* #,##0_-;_-\$* \-??_-;_-@_-"/>
    <numFmt numFmtId="178" formatCode="0.0%"/>
    <numFmt numFmtId="179" formatCode="dd/mm/yy"/>
    <numFmt numFmtId="180" formatCode="[$$-C09]#,##0.0;[Red]\-[$$-C09]#,##0.0"/>
    <numFmt numFmtId="181" formatCode="\$#,##0;[Red]&quot;-$&quot;#,##0"/>
  </numFmts>
  <fonts count="32" x14ac:knownFonts="1"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50"/>
      <name val="Arial"/>
      <family val="2"/>
    </font>
    <font>
      <sz val="15"/>
      <name val="Arial"/>
      <family val="2"/>
    </font>
    <font>
      <sz val="12"/>
      <color indexed="12"/>
      <name val="Arial"/>
      <family val="2"/>
    </font>
    <font>
      <sz val="10"/>
      <color indexed="53"/>
      <name val="Arial"/>
      <family val="2"/>
    </font>
    <font>
      <u/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30"/>
      <name val="Arial"/>
      <family val="2"/>
    </font>
    <font>
      <sz val="8"/>
      <name val="Arial"/>
      <family val="2"/>
    </font>
    <font>
      <sz val="10"/>
      <name val="SimSun"/>
      <family val="2"/>
    </font>
    <font>
      <sz val="10"/>
      <color indexed="10"/>
      <name val="Arial"/>
      <family val="2"/>
    </font>
    <font>
      <sz val="10"/>
      <color indexed="29"/>
      <name val="Arial"/>
      <family val="2"/>
    </font>
    <font>
      <sz val="10"/>
      <color indexed="9"/>
      <name val="Arial"/>
      <family val="2"/>
    </font>
    <font>
      <sz val="10"/>
      <color indexed="35"/>
      <name val="Arial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sz val="10"/>
      <color indexed="28"/>
      <name val="Arial"/>
      <family val="2"/>
    </font>
    <font>
      <sz val="14"/>
      <color indexed="8"/>
      <name val="Arial"/>
      <family val="2"/>
    </font>
    <font>
      <sz val="9"/>
      <color indexed="9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7"/>
      <name val="Arial"/>
      <family val="2"/>
    </font>
    <font>
      <sz val="14"/>
      <name val="Arial"/>
      <family val="2"/>
    </font>
    <font>
      <sz val="1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50"/>
        <bgColor indexed="23"/>
      </patternFill>
    </fill>
    <fill>
      <patternFill patternType="solid">
        <fgColor indexed="15"/>
        <bgColor indexed="49"/>
      </patternFill>
    </fill>
    <fill>
      <patternFill patternType="solid">
        <fgColor indexed="34"/>
        <bgColor indexed="13"/>
      </patternFill>
    </fill>
    <fill>
      <patternFill patternType="solid">
        <fgColor indexed="18"/>
        <bgColor indexed="28"/>
      </patternFill>
    </fill>
    <fill>
      <patternFill patternType="solid">
        <fgColor indexed="35"/>
        <bgColor indexed="38"/>
      </patternFill>
    </fill>
    <fill>
      <patternFill patternType="solid">
        <fgColor indexed="38"/>
        <bgColor indexed="35"/>
      </patternFill>
    </fill>
    <fill>
      <patternFill patternType="solid">
        <fgColor indexed="9"/>
        <bgColor indexed="26"/>
      </patternFill>
    </fill>
    <fill>
      <patternFill patternType="solid">
        <fgColor indexed="24"/>
        <bgColor indexed="55"/>
      </patternFill>
    </fill>
    <fill>
      <patternFill patternType="solid">
        <fgColor indexed="23"/>
        <bgColor indexed="50"/>
      </patternFill>
    </fill>
    <fill>
      <patternFill patternType="solid">
        <fgColor indexed="57"/>
        <bgColor indexed="21"/>
      </patternFill>
    </fill>
    <fill>
      <patternFill patternType="solid">
        <fgColor indexed="19"/>
        <bgColor indexed="54"/>
      </patternFill>
    </fill>
    <fill>
      <patternFill patternType="solid">
        <fgColor indexed="11"/>
        <bgColor indexed="35"/>
      </patternFill>
    </fill>
    <fill>
      <patternFill patternType="solid">
        <fgColor indexed="52"/>
        <bgColor indexed="53"/>
      </patternFill>
    </fill>
    <fill>
      <patternFill patternType="solid">
        <fgColor indexed="21"/>
        <bgColor indexed="57"/>
      </patternFill>
    </fill>
    <fill>
      <patternFill patternType="solid">
        <fgColor indexed="13"/>
        <bgColor indexed="34"/>
      </patternFill>
    </fill>
    <fill>
      <patternFill patternType="solid">
        <fgColor indexed="43"/>
        <bgColor indexed="34"/>
      </patternFill>
    </fill>
    <fill>
      <patternFill patternType="solid">
        <fgColor indexed="40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21"/>
      </patternFill>
    </fill>
    <fill>
      <patternFill patternType="solid">
        <fgColor indexed="30"/>
        <bgColor indexed="48"/>
      </patternFill>
    </fill>
    <fill>
      <patternFill patternType="solid">
        <fgColor theme="7"/>
        <bgColor indexed="23"/>
      </patternFill>
    </fill>
    <fill>
      <patternFill patternType="solid">
        <fgColor theme="6"/>
        <bgColor indexed="64"/>
      </patternFill>
    </fill>
  </fills>
  <borders count="111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 style="hair">
        <color indexed="8"/>
      </left>
      <right style="hair">
        <color indexed="8"/>
      </right>
      <top/>
      <bottom style="double">
        <color indexed="8"/>
      </bottom>
      <diagonal/>
    </border>
    <border>
      <left/>
      <right style="hair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175" fontId="13" fillId="0" borderId="0" applyFill="0" applyBorder="0" applyAlignment="0" applyProtection="0"/>
    <xf numFmtId="176" fontId="13" fillId="0" borderId="0" applyFill="0" applyBorder="0" applyAlignment="0" applyProtection="0"/>
    <xf numFmtId="9" fontId="13" fillId="0" borderId="0" applyFill="0" applyBorder="0" applyAlignment="0" applyProtection="0"/>
  </cellStyleXfs>
  <cellXfs count="948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5" fontId="0" fillId="2" borderId="1" xfId="0" applyNumberFormat="1" applyFill="1" applyBorder="1" applyAlignment="1" applyProtection="1">
      <alignment horizontal="right"/>
      <protection hidden="1"/>
    </xf>
    <xf numFmtId="165" fontId="0" fillId="3" borderId="0" xfId="0" applyNumberFormat="1" applyFill="1" applyProtection="1">
      <protection hidden="1"/>
    </xf>
    <xf numFmtId="165" fontId="0" fillId="2" borderId="0" xfId="0" applyNumberFormat="1" applyFill="1" applyAlignment="1" applyProtection="1">
      <alignment horizontal="left"/>
      <protection hidden="1"/>
    </xf>
    <xf numFmtId="165" fontId="0" fillId="2" borderId="2" xfId="0" applyNumberFormat="1" applyFill="1" applyBorder="1" applyAlignment="1" applyProtection="1">
      <alignment horizontal="center"/>
      <protection hidden="1"/>
    </xf>
    <xf numFmtId="165" fontId="0" fillId="2" borderId="0" xfId="0" applyNumberFormat="1" applyFill="1" applyAlignment="1" applyProtection="1">
      <alignment horizontal="right"/>
      <protection hidden="1"/>
    </xf>
    <xf numFmtId="165" fontId="0" fillId="2" borderId="3" xfId="0" applyNumberFormat="1" applyFill="1" applyBorder="1" applyAlignment="1" applyProtection="1">
      <alignment horizontal="center"/>
      <protection hidden="1"/>
    </xf>
    <xf numFmtId="165" fontId="0" fillId="2" borderId="4" xfId="0" applyNumberFormat="1" applyFill="1" applyBorder="1" applyAlignment="1" applyProtection="1">
      <alignment horizontal="right"/>
      <protection hidden="1"/>
    </xf>
    <xf numFmtId="0" fontId="0" fillId="2" borderId="0" xfId="0" applyFill="1"/>
    <xf numFmtId="165" fontId="0" fillId="2" borderId="5" xfId="0" applyNumberFormat="1" applyFill="1" applyBorder="1" applyAlignment="1" applyProtection="1">
      <alignment horizontal="center"/>
      <protection hidden="1"/>
    </xf>
    <xf numFmtId="165" fontId="0" fillId="4" borderId="0" xfId="0" applyNumberFormat="1" applyFill="1" applyAlignment="1" applyProtection="1">
      <alignment horizontal="center"/>
      <protection locked="0" hidden="1"/>
    </xf>
    <xf numFmtId="165" fontId="0" fillId="2" borderId="0" xfId="0" applyNumberFormat="1" applyFill="1" applyAlignment="1" applyProtection="1">
      <alignment horizontal="center"/>
      <protection hidden="1"/>
    </xf>
    <xf numFmtId="167" fontId="4" fillId="2" borderId="0" xfId="0" applyNumberFormat="1" applyFont="1" applyFill="1" applyProtection="1">
      <protection hidden="1"/>
    </xf>
    <xf numFmtId="165" fontId="5" fillId="2" borderId="0" xfId="0" applyNumberFormat="1" applyFont="1" applyFill="1" applyAlignment="1" applyProtection="1">
      <alignment horizontal="center"/>
      <protection hidden="1"/>
    </xf>
    <xf numFmtId="165" fontId="0" fillId="2" borderId="6" xfId="0" applyNumberFormat="1" applyFill="1" applyBorder="1" applyAlignment="1" applyProtection="1">
      <alignment horizontal="center"/>
      <protection hidden="1"/>
    </xf>
    <xf numFmtId="165" fontId="0" fillId="2" borderId="7" xfId="0" applyNumberFormat="1" applyFill="1" applyBorder="1" applyAlignment="1" applyProtection="1">
      <alignment horizontal="center"/>
      <protection hidden="1"/>
    </xf>
    <xf numFmtId="165" fontId="0" fillId="2" borderId="0" xfId="0" applyNumberFormat="1" applyFill="1" applyProtection="1">
      <protection hidden="1"/>
    </xf>
    <xf numFmtId="4" fontId="0" fillId="2" borderId="0" xfId="0" applyNumberFormat="1" applyFill="1" applyAlignment="1" applyProtection="1">
      <alignment horizontal="center"/>
      <protection hidden="1"/>
    </xf>
    <xf numFmtId="0" fontId="0" fillId="2" borderId="6" xfId="0" applyFill="1" applyBorder="1" applyAlignment="1" applyProtection="1">
      <alignment horizontal="left"/>
      <protection hidden="1"/>
    </xf>
    <xf numFmtId="165" fontId="0" fillId="2" borderId="2" xfId="0" applyNumberFormat="1" applyFill="1" applyBorder="1" applyAlignment="1" applyProtection="1">
      <alignment horizontal="left"/>
      <protection hidden="1"/>
    </xf>
    <xf numFmtId="0" fontId="0" fillId="2" borderId="0" xfId="0" applyFill="1" applyAlignment="1">
      <alignment horizontal="left"/>
    </xf>
    <xf numFmtId="165" fontId="0" fillId="2" borderId="2" xfId="0" applyNumberFormat="1" applyFill="1" applyBorder="1" applyProtection="1">
      <protection hidden="1"/>
    </xf>
    <xf numFmtId="168" fontId="5" fillId="2" borderId="0" xfId="0" applyNumberFormat="1" applyFont="1" applyFill="1" applyAlignment="1" applyProtection="1">
      <alignment horizontal="center"/>
      <protection hidden="1"/>
    </xf>
    <xf numFmtId="165" fontId="0" fillId="4" borderId="0" xfId="0" applyNumberFormat="1" applyFill="1" applyProtection="1">
      <protection locked="0" hidden="1"/>
    </xf>
    <xf numFmtId="165" fontId="3" fillId="2" borderId="0" xfId="0" applyNumberFormat="1" applyFont="1" applyFill="1" applyAlignment="1" applyProtection="1">
      <alignment horizontal="left"/>
      <protection hidden="1"/>
    </xf>
    <xf numFmtId="167" fontId="0" fillId="2" borderId="0" xfId="0" applyNumberFormat="1" applyFill="1" applyAlignment="1" applyProtection="1">
      <alignment horizontal="center"/>
      <protection hidden="1"/>
    </xf>
    <xf numFmtId="169" fontId="0" fillId="2" borderId="0" xfId="0" applyNumberFormat="1" applyFill="1" applyAlignment="1" applyProtection="1">
      <alignment horizontal="right"/>
      <protection hidden="1"/>
    </xf>
    <xf numFmtId="167" fontId="0" fillId="4" borderId="0" xfId="0" applyNumberFormat="1" applyFill="1" applyAlignment="1" applyProtection="1">
      <alignment horizontal="center"/>
      <protection locked="0" hidden="1"/>
    </xf>
    <xf numFmtId="165" fontId="0" fillId="2" borderId="6" xfId="0" applyNumberFormat="1" applyFill="1" applyBorder="1" applyProtection="1">
      <protection hidden="1"/>
    </xf>
    <xf numFmtId="173" fontId="0" fillId="2" borderId="0" xfId="0" applyNumberFormat="1" applyFill="1" applyAlignment="1" applyProtection="1">
      <alignment horizontal="center"/>
      <protection hidden="1"/>
    </xf>
    <xf numFmtId="165" fontId="0" fillId="2" borderId="0" xfId="0" applyNumberFormat="1" applyFill="1"/>
    <xf numFmtId="10" fontId="0" fillId="2" borderId="0" xfId="0" applyNumberFormat="1" applyFill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75" fontId="3" fillId="0" borderId="0" xfId="0" applyNumberFormat="1" applyFont="1" applyAlignment="1" applyProtection="1">
      <alignment horizontal="center"/>
      <protection hidden="1"/>
    </xf>
    <xf numFmtId="0" fontId="0" fillId="6" borderId="0" xfId="0" applyFill="1"/>
    <xf numFmtId="174" fontId="0" fillId="6" borderId="5" xfId="0" applyNumberFormat="1" applyFill="1" applyBorder="1" applyAlignment="1">
      <alignment horizontal="center"/>
    </xf>
    <xf numFmtId="0" fontId="8" fillId="0" borderId="8" xfId="0" applyFont="1" applyBorder="1" applyAlignment="1" applyProtection="1">
      <alignment vertical="center"/>
      <protection hidden="1"/>
    </xf>
    <xf numFmtId="0" fontId="8" fillId="0" borderId="9" xfId="0" applyFont="1" applyBorder="1" applyProtection="1">
      <protection hidden="1"/>
    </xf>
    <xf numFmtId="0" fontId="8" fillId="0" borderId="10" xfId="0" applyFont="1" applyBorder="1" applyProtection="1">
      <protection hidden="1"/>
    </xf>
    <xf numFmtId="10" fontId="10" fillId="0" borderId="11" xfId="0" applyNumberFormat="1" applyFont="1" applyBorder="1" applyProtection="1">
      <protection hidden="1"/>
    </xf>
    <xf numFmtId="174" fontId="0" fillId="6" borderId="5" xfId="0" applyNumberFormat="1" applyFill="1" applyBorder="1" applyAlignment="1">
      <alignment horizontal="left"/>
    </xf>
    <xf numFmtId="0" fontId="0" fillId="0" borderId="12" xfId="0" applyBorder="1" applyProtection="1">
      <protection hidden="1"/>
    </xf>
    <xf numFmtId="0" fontId="0" fillId="0" borderId="13" xfId="0" applyBorder="1" applyProtection="1">
      <protection hidden="1"/>
    </xf>
    <xf numFmtId="168" fontId="11" fillId="0" borderId="11" xfId="0" applyNumberFormat="1" applyFont="1" applyBorder="1" applyProtection="1">
      <protection hidden="1"/>
    </xf>
    <xf numFmtId="174" fontId="0" fillId="6" borderId="0" xfId="0" applyNumberFormat="1" applyFill="1"/>
    <xf numFmtId="0" fontId="12" fillId="0" borderId="0" xfId="0" applyFont="1" applyAlignment="1" applyProtection="1">
      <alignment horizontal="right"/>
      <protection hidden="1"/>
    </xf>
    <xf numFmtId="10" fontId="10" fillId="0" borderId="14" xfId="3" applyNumberFormat="1" applyFont="1" applyFill="1" applyBorder="1" applyAlignment="1" applyProtection="1">
      <protection hidden="1"/>
    </xf>
    <xf numFmtId="0" fontId="10" fillId="0" borderId="0" xfId="0" applyFont="1" applyProtection="1">
      <protection hidden="1"/>
    </xf>
    <xf numFmtId="0" fontId="10" fillId="0" borderId="11" xfId="0" applyFont="1" applyBorder="1" applyProtection="1">
      <protection hidden="1"/>
    </xf>
    <xf numFmtId="0" fontId="0" fillId="0" borderId="15" xfId="0" applyBorder="1" applyProtection="1">
      <protection hidden="1"/>
    </xf>
    <xf numFmtId="167" fontId="10" fillId="0" borderId="13" xfId="0" applyNumberFormat="1" applyFont="1" applyBorder="1" applyProtection="1">
      <protection hidden="1"/>
    </xf>
    <xf numFmtId="168" fontId="10" fillId="0" borderId="13" xfId="0" applyNumberFormat="1" applyFont="1" applyBorder="1" applyProtection="1">
      <protection hidden="1"/>
    </xf>
    <xf numFmtId="168" fontId="0" fillId="0" borderId="0" xfId="0" applyNumberFormat="1" applyProtection="1">
      <protection hidden="1"/>
    </xf>
    <xf numFmtId="177" fontId="10" fillId="0" borderId="14" xfId="2" applyNumberFormat="1" applyFont="1" applyFill="1" applyBorder="1" applyAlignment="1" applyProtection="1">
      <protection hidden="1"/>
    </xf>
    <xf numFmtId="168" fontId="10" fillId="0" borderId="0" xfId="0" applyNumberFormat="1" applyFont="1" applyProtection="1">
      <protection hidden="1"/>
    </xf>
    <xf numFmtId="0" fontId="10" fillId="0" borderId="14" xfId="0" applyFont="1" applyBorder="1" applyProtection="1">
      <protection hidden="1"/>
    </xf>
    <xf numFmtId="172" fontId="10" fillId="0" borderId="14" xfId="0" applyNumberFormat="1" applyFont="1" applyBorder="1" applyProtection="1">
      <protection hidden="1"/>
    </xf>
    <xf numFmtId="168" fontId="11" fillId="0" borderId="0" xfId="0" applyNumberFormat="1" applyFont="1" applyAlignment="1" applyProtection="1">
      <alignment horizontal="center"/>
      <protection hidden="1"/>
    </xf>
    <xf numFmtId="0" fontId="0" fillId="0" borderId="12" xfId="0" applyBorder="1" applyAlignment="1" applyProtection="1">
      <alignment horizontal="left"/>
      <protection hidden="1"/>
    </xf>
    <xf numFmtId="0" fontId="10" fillId="0" borderId="14" xfId="2" applyNumberFormat="1" applyFont="1" applyFill="1" applyBorder="1" applyAlignment="1" applyProtection="1">
      <protection hidden="1"/>
    </xf>
    <xf numFmtId="0" fontId="0" fillId="0" borderId="0" xfId="0" applyAlignment="1" applyProtection="1">
      <alignment horizontal="right"/>
      <protection hidden="1"/>
    </xf>
    <xf numFmtId="177" fontId="0" fillId="0" borderId="0" xfId="0" applyNumberFormat="1" applyProtection="1">
      <protection hidden="1"/>
    </xf>
    <xf numFmtId="10" fontId="0" fillId="0" borderId="0" xfId="3" applyNumberFormat="1" applyFont="1" applyFill="1" applyBorder="1" applyAlignment="1" applyProtection="1">
      <alignment horizontal="left"/>
      <protection hidden="1"/>
    </xf>
    <xf numFmtId="174" fontId="0" fillId="0" borderId="13" xfId="1" applyNumberFormat="1" applyFont="1" applyFill="1" applyBorder="1" applyAlignment="1" applyProtection="1">
      <protection hidden="1"/>
    </xf>
    <xf numFmtId="10" fontId="0" fillId="0" borderId="6" xfId="3" applyNumberFormat="1" applyFont="1" applyFill="1" applyBorder="1" applyAlignment="1" applyProtection="1">
      <alignment horizontal="left"/>
      <protection hidden="1"/>
    </xf>
    <xf numFmtId="0" fontId="0" fillId="6" borderId="2" xfId="0" applyFill="1" applyBorder="1"/>
    <xf numFmtId="174" fontId="0" fillId="6" borderId="3" xfId="0" applyNumberFormat="1" applyFill="1" applyBorder="1" applyAlignment="1">
      <alignment horizontal="center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0" fontId="0" fillId="0" borderId="17" xfId="0" applyBorder="1" applyAlignment="1" applyProtection="1">
      <alignment horizontal="right"/>
      <protection hidden="1"/>
    </xf>
    <xf numFmtId="174" fontId="0" fillId="0" borderId="18" xfId="1" applyNumberFormat="1" applyFont="1" applyFill="1" applyBorder="1" applyAlignment="1" applyProtection="1">
      <protection hidden="1"/>
    </xf>
    <xf numFmtId="3" fontId="0" fillId="0" borderId="0" xfId="0" applyNumberFormat="1" applyProtection="1">
      <protection hidden="1"/>
    </xf>
    <xf numFmtId="0" fontId="8" fillId="0" borderId="19" xfId="0" applyFont="1" applyBorder="1" applyProtection="1">
      <protection hidden="1"/>
    </xf>
    <xf numFmtId="0" fontId="8" fillId="0" borderId="2" xfId="0" applyFont="1" applyBorder="1" applyProtection="1">
      <protection hidden="1"/>
    </xf>
    <xf numFmtId="0" fontId="8" fillId="0" borderId="2" xfId="0" applyFont="1" applyBorder="1" applyAlignment="1" applyProtection="1">
      <alignment horizontal="right" vertical="center"/>
      <protection hidden="1"/>
    </xf>
    <xf numFmtId="174" fontId="8" fillId="0" borderId="20" xfId="1" applyNumberFormat="1" applyFont="1" applyFill="1" applyBorder="1" applyAlignment="1" applyProtection="1">
      <alignment vertical="center"/>
      <protection hidden="1"/>
    </xf>
    <xf numFmtId="1" fontId="0" fillId="0" borderId="0" xfId="0" applyNumberFormat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2" xfId="0" applyBorder="1" applyAlignment="1" applyProtection="1">
      <alignment horizontal="right"/>
      <protection hidden="1"/>
    </xf>
    <xf numFmtId="2" fontId="0" fillId="0" borderId="23" xfId="0" applyNumberFormat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25" xfId="0" applyBorder="1" applyProtection="1">
      <protection hidden="1"/>
    </xf>
    <xf numFmtId="10" fontId="0" fillId="0" borderId="26" xfId="3" applyNumberFormat="1" applyFont="1" applyFill="1" applyBorder="1" applyAlignment="1" applyProtection="1">
      <protection hidden="1"/>
    </xf>
    <xf numFmtId="1" fontId="10" fillId="0" borderId="13" xfId="0" applyNumberFormat="1" applyFont="1" applyBorder="1" applyProtection="1">
      <protection hidden="1"/>
    </xf>
    <xf numFmtId="0" fontId="8" fillId="0" borderId="8" xfId="0" applyFont="1" applyBorder="1" applyProtection="1">
      <protection hidden="1"/>
    </xf>
    <xf numFmtId="0" fontId="0" fillId="0" borderId="9" xfId="0" applyBorder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3" xfId="0" applyFont="1" applyBorder="1" applyProtection="1">
      <protection hidden="1"/>
    </xf>
    <xf numFmtId="172" fontId="15" fillId="0" borderId="13" xfId="0" applyNumberFormat="1" applyFont="1" applyBorder="1" applyProtection="1">
      <protection hidden="1"/>
    </xf>
    <xf numFmtId="172" fontId="15" fillId="0" borderId="27" xfId="0" applyNumberFormat="1" applyFont="1" applyBorder="1" applyProtection="1">
      <protection hidden="1"/>
    </xf>
    <xf numFmtId="1" fontId="8" fillId="0" borderId="14" xfId="0" applyNumberFormat="1" applyFont="1" applyBorder="1" applyProtection="1">
      <protection hidden="1"/>
    </xf>
    <xf numFmtId="1" fontId="0" fillId="0" borderId="14" xfId="0" applyNumberFormat="1" applyBorder="1" applyProtection="1">
      <protection hidden="1"/>
    </xf>
    <xf numFmtId="174" fontId="0" fillId="0" borderId="28" xfId="1" applyNumberFormat="1" applyFont="1" applyFill="1" applyBorder="1" applyAlignment="1" applyProtection="1">
      <alignment horizontal="center"/>
      <protection hidden="1"/>
    </xf>
    <xf numFmtId="0" fontId="0" fillId="0" borderId="5" xfId="3" applyNumberFormat="1" applyFont="1" applyFill="1" applyBorder="1" applyAlignment="1" applyProtection="1">
      <alignment horizontal="center"/>
      <protection hidden="1"/>
    </xf>
    <xf numFmtId="178" fontId="0" fillId="0" borderId="5" xfId="3" applyNumberFormat="1" applyFont="1" applyFill="1" applyBorder="1" applyAlignment="1" applyProtection="1">
      <alignment horizontal="center"/>
      <protection hidden="1"/>
    </xf>
    <xf numFmtId="2" fontId="0" fillId="0" borderId="29" xfId="0" applyNumberFormat="1" applyBorder="1" applyAlignment="1" applyProtection="1">
      <alignment horizontal="center"/>
      <protection hidden="1"/>
    </xf>
    <xf numFmtId="177" fontId="8" fillId="0" borderId="13" xfId="0" applyNumberFormat="1" applyFont="1" applyBorder="1" applyProtection="1">
      <protection hidden="1"/>
    </xf>
    <xf numFmtId="174" fontId="10" fillId="0" borderId="30" xfId="1" applyNumberFormat="1" applyFont="1" applyFill="1" applyBorder="1" applyAlignment="1" applyProtection="1">
      <alignment horizontal="center"/>
      <protection hidden="1"/>
    </xf>
    <xf numFmtId="174" fontId="0" fillId="0" borderId="30" xfId="1" applyNumberFormat="1" applyFont="1" applyFill="1" applyBorder="1" applyAlignment="1" applyProtection="1">
      <alignment horizontal="center"/>
      <protection hidden="1"/>
    </xf>
    <xf numFmtId="10" fontId="10" fillId="0" borderId="0" xfId="0" applyNumberFormat="1" applyFont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174" fontId="0" fillId="0" borderId="31" xfId="1" applyNumberFormat="1" applyFont="1" applyFill="1" applyBorder="1" applyAlignment="1" applyProtection="1">
      <alignment horizontal="center"/>
      <protection hidden="1"/>
    </xf>
    <xf numFmtId="178" fontId="0" fillId="0" borderId="5" xfId="0" applyNumberFormat="1" applyBorder="1" applyAlignment="1" applyProtection="1">
      <alignment horizontal="center"/>
      <protection hidden="1"/>
    </xf>
    <xf numFmtId="1" fontId="10" fillId="0" borderId="14" xfId="2" applyNumberFormat="1" applyFont="1" applyFill="1" applyBorder="1" applyAlignment="1" applyProtection="1">
      <protection hidden="1"/>
    </xf>
    <xf numFmtId="10" fontId="10" fillId="0" borderId="32" xfId="3" applyNumberFormat="1" applyFont="1" applyFill="1" applyBorder="1" applyAlignment="1" applyProtection="1">
      <alignment horizontal="center"/>
      <protection hidden="1"/>
    </xf>
    <xf numFmtId="9" fontId="10" fillId="0" borderId="0" xfId="3" applyFont="1" applyFill="1" applyBorder="1" applyAlignment="1" applyProtection="1">
      <protection hidden="1"/>
    </xf>
    <xf numFmtId="178" fontId="0" fillId="0" borderId="30" xfId="3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177" fontId="8" fillId="0" borderId="13" xfId="2" applyNumberFormat="1" applyFont="1" applyFill="1" applyBorder="1" applyAlignment="1" applyProtection="1">
      <protection hidden="1"/>
    </xf>
    <xf numFmtId="0" fontId="8" fillId="0" borderId="33" xfId="0" applyFont="1" applyBorder="1" applyProtection="1">
      <protection hidden="1"/>
    </xf>
    <xf numFmtId="0" fontId="8" fillId="0" borderId="34" xfId="0" applyFont="1" applyBorder="1" applyProtection="1">
      <protection hidden="1"/>
    </xf>
    <xf numFmtId="0" fontId="8" fillId="0" borderId="34" xfId="0" applyFont="1" applyBorder="1" applyAlignment="1" applyProtection="1">
      <alignment horizontal="right" vertical="center"/>
      <protection hidden="1"/>
    </xf>
    <xf numFmtId="174" fontId="8" fillId="0" borderId="35" xfId="1" applyNumberFormat="1" applyFont="1" applyFill="1" applyBorder="1" applyAlignment="1" applyProtection="1">
      <alignment horizontal="center"/>
      <protection hidden="1"/>
    </xf>
    <xf numFmtId="178" fontId="8" fillId="0" borderId="36" xfId="3" applyNumberFormat="1" applyFont="1" applyFill="1" applyBorder="1" applyAlignment="1" applyProtection="1">
      <alignment horizontal="center"/>
      <protection hidden="1"/>
    </xf>
    <xf numFmtId="2" fontId="8" fillId="0" borderId="37" xfId="0" applyNumberFormat="1" applyFont="1" applyBorder="1" applyAlignment="1" applyProtection="1">
      <alignment horizontal="center"/>
      <protection hidden="1"/>
    </xf>
    <xf numFmtId="3" fontId="0" fillId="6" borderId="5" xfId="0" applyNumberFormat="1" applyFill="1" applyBorder="1" applyAlignment="1">
      <alignment horizontal="center"/>
    </xf>
    <xf numFmtId="1" fontId="8" fillId="0" borderId="14" xfId="0" applyNumberFormat="1" applyFont="1" applyBorder="1" applyAlignment="1" applyProtection="1">
      <alignment horizontal="center"/>
      <protection hidden="1"/>
    </xf>
    <xf numFmtId="1" fontId="15" fillId="0" borderId="13" xfId="0" applyNumberFormat="1" applyFont="1" applyBorder="1" applyAlignment="1" applyProtection="1">
      <alignment horizontal="center"/>
      <protection hidden="1"/>
    </xf>
    <xf numFmtId="177" fontId="8" fillId="0" borderId="0" xfId="0" applyNumberFormat="1" applyFont="1" applyProtection="1">
      <protection hidden="1"/>
    </xf>
    <xf numFmtId="2" fontId="10" fillId="0" borderId="32" xfId="0" applyNumberFormat="1" applyFont="1" applyBorder="1" applyAlignment="1" applyProtection="1">
      <alignment horizontal="center"/>
      <protection hidden="1"/>
    </xf>
    <xf numFmtId="174" fontId="0" fillId="0" borderId="38" xfId="1" applyNumberFormat="1" applyFont="1" applyFill="1" applyBorder="1" applyAlignment="1" applyProtection="1">
      <alignment horizontal="center"/>
      <protection hidden="1"/>
    </xf>
    <xf numFmtId="178" fontId="0" fillId="0" borderId="38" xfId="0" applyNumberFormat="1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6" borderId="0" xfId="0" applyFill="1" applyAlignment="1">
      <alignment horizontal="left"/>
    </xf>
    <xf numFmtId="168" fontId="0" fillId="6" borderId="5" xfId="0" applyNumberFormat="1" applyFill="1" applyBorder="1" applyAlignment="1">
      <alignment horizontal="center"/>
    </xf>
    <xf numFmtId="0" fontId="10" fillId="4" borderId="0" xfId="0" applyFont="1" applyFill="1" applyAlignment="1" applyProtection="1">
      <alignment horizontal="center"/>
      <protection locked="0" hidden="1"/>
    </xf>
    <xf numFmtId="0" fontId="0" fillId="0" borderId="10" xfId="0" applyBorder="1" applyProtection="1">
      <protection hidden="1"/>
    </xf>
    <xf numFmtId="0" fontId="10" fillId="0" borderId="32" xfId="0" applyFont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74" fontId="16" fillId="0" borderId="0" xfId="1" applyNumberFormat="1" applyFont="1" applyFill="1" applyBorder="1" applyAlignment="1" applyProtection="1">
      <alignment horizontal="center"/>
      <protection hidden="1"/>
    </xf>
    <xf numFmtId="0" fontId="0" fillId="0" borderId="40" xfId="0" applyBorder="1" applyProtection="1">
      <protection hidden="1"/>
    </xf>
    <xf numFmtId="0" fontId="0" fillId="0" borderId="6" xfId="0" applyBorder="1" applyAlignment="1" applyProtection="1">
      <alignment horizontal="right"/>
      <protection hidden="1"/>
    </xf>
    <xf numFmtId="175" fontId="8" fillId="0" borderId="41" xfId="0" applyNumberFormat="1" applyFont="1" applyBorder="1" applyProtection="1">
      <protection hidden="1"/>
    </xf>
    <xf numFmtId="178" fontId="0" fillId="0" borderId="30" xfId="0" applyNumberFormat="1" applyBorder="1" applyAlignment="1" applyProtection="1">
      <alignment horizontal="center"/>
      <protection hidden="1"/>
    </xf>
    <xf numFmtId="0" fontId="8" fillId="0" borderId="13" xfId="0" applyFont="1" applyBorder="1" applyAlignment="1" applyProtection="1">
      <alignment horizontal="center"/>
      <protection hidden="1"/>
    </xf>
    <xf numFmtId="174" fontId="8" fillId="0" borderId="36" xfId="1" applyNumberFormat="1" applyFont="1" applyFill="1" applyBorder="1" applyAlignment="1" applyProtection="1">
      <alignment horizontal="center"/>
      <protection hidden="1"/>
    </xf>
    <xf numFmtId="178" fontId="8" fillId="0" borderId="36" xfId="0" applyNumberFormat="1" applyFont="1" applyBorder="1" applyAlignment="1" applyProtection="1">
      <alignment horizontal="center"/>
      <protection hidden="1"/>
    </xf>
    <xf numFmtId="2" fontId="8" fillId="0" borderId="36" xfId="0" applyNumberFormat="1" applyFont="1" applyBorder="1" applyAlignment="1" applyProtection="1">
      <alignment horizontal="center"/>
      <protection hidden="1"/>
    </xf>
    <xf numFmtId="9" fontId="4" fillId="0" borderId="0" xfId="3" applyFont="1" applyFill="1" applyBorder="1" applyAlignment="1" applyProtection="1">
      <protection hidden="1"/>
    </xf>
    <xf numFmtId="178" fontId="0" fillId="0" borderId="15" xfId="3" applyNumberFormat="1" applyFont="1" applyFill="1" applyBorder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42" xfId="0" applyBorder="1" applyProtection="1">
      <protection hidden="1"/>
    </xf>
    <xf numFmtId="174" fontId="16" fillId="0" borderId="42" xfId="1" applyNumberFormat="1" applyFont="1" applyFill="1" applyBorder="1" applyAlignment="1" applyProtection="1">
      <alignment horizontal="center"/>
      <protection hidden="1"/>
    </xf>
    <xf numFmtId="10" fontId="10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0" fontId="0" fillId="0" borderId="43" xfId="0" applyBorder="1" applyProtection="1">
      <protection hidden="1"/>
    </xf>
    <xf numFmtId="0" fontId="0" fillId="0" borderId="26" xfId="0" applyBorder="1" applyAlignment="1" applyProtection="1">
      <alignment horizontal="right"/>
      <protection hidden="1"/>
    </xf>
    <xf numFmtId="174" fontId="0" fillId="0" borderId="0" xfId="1" applyNumberFormat="1" applyFont="1" applyFill="1" applyBorder="1" applyAlignment="1" applyProtection="1">
      <alignment horizontal="center"/>
      <protection hidden="1"/>
    </xf>
    <xf numFmtId="178" fontId="0" fillId="0" borderId="0" xfId="0" applyNumberFormat="1" applyAlignment="1" applyProtection="1">
      <alignment horizontal="center"/>
      <protection hidden="1"/>
    </xf>
    <xf numFmtId="1" fontId="8" fillId="0" borderId="13" xfId="0" applyNumberFormat="1" applyFont="1" applyBorder="1" applyAlignment="1" applyProtection="1">
      <alignment horizontal="center"/>
      <protection hidden="1"/>
    </xf>
    <xf numFmtId="174" fontId="0" fillId="0" borderId="0" xfId="1" applyNumberFormat="1" applyFont="1" applyFill="1" applyBorder="1" applyAlignment="1" applyProtection="1">
      <protection hidden="1"/>
    </xf>
    <xf numFmtId="2" fontId="3" fillId="0" borderId="0" xfId="0" applyNumberFormat="1" applyFont="1" applyAlignment="1" applyProtection="1">
      <alignment horizontal="center"/>
      <protection hidden="1"/>
    </xf>
    <xf numFmtId="179" fontId="0" fillId="0" borderId="0" xfId="0" applyNumberFormat="1" applyProtection="1">
      <protection hidden="1"/>
    </xf>
    <xf numFmtId="2" fontId="10" fillId="0" borderId="14" xfId="0" applyNumberFormat="1" applyFont="1" applyBorder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/>
    <xf numFmtId="2" fontId="12" fillId="0" borderId="0" xfId="0" applyNumberFormat="1" applyFont="1" applyAlignment="1" applyProtection="1">
      <alignment horizontal="right"/>
      <protection hidden="1"/>
    </xf>
    <xf numFmtId="164" fontId="12" fillId="0" borderId="0" xfId="0" applyNumberFormat="1" applyFont="1" applyAlignment="1" applyProtection="1">
      <alignment horizontal="right"/>
      <protection hidden="1"/>
    </xf>
    <xf numFmtId="0" fontId="18" fillId="0" borderId="0" xfId="0" applyFont="1" applyProtection="1">
      <protection hidden="1"/>
    </xf>
    <xf numFmtId="0" fontId="18" fillId="7" borderId="0" xfId="0" applyFont="1" applyFill="1" applyProtection="1">
      <protection hidden="1"/>
    </xf>
    <xf numFmtId="0" fontId="19" fillId="0" borderId="0" xfId="0" applyFont="1" applyProtection="1">
      <protection hidden="1"/>
    </xf>
    <xf numFmtId="0" fontId="19" fillId="7" borderId="0" xfId="0" applyFont="1" applyFill="1" applyProtection="1">
      <protection hidden="1"/>
    </xf>
    <xf numFmtId="0" fontId="20" fillId="0" borderId="44" xfId="0" applyFont="1" applyBorder="1" applyAlignment="1" applyProtection="1">
      <alignment horizontal="left" vertical="center"/>
      <protection hidden="1"/>
    </xf>
    <xf numFmtId="0" fontId="20" fillId="0" borderId="44" xfId="0" applyFont="1" applyBorder="1" applyAlignment="1" applyProtection="1">
      <alignment horizontal="center" vertical="center"/>
      <protection hidden="1"/>
    </xf>
    <xf numFmtId="0" fontId="16" fillId="0" borderId="0" xfId="0" applyFont="1"/>
    <xf numFmtId="0" fontId="21" fillId="0" borderId="44" xfId="0" applyFont="1" applyBorder="1" applyAlignment="1" applyProtection="1">
      <alignment horizontal="center" vertical="center"/>
      <protection hidden="1"/>
    </xf>
    <xf numFmtId="0" fontId="12" fillId="0" borderId="45" xfId="0" applyFont="1" applyBorder="1"/>
    <xf numFmtId="0" fontId="21" fillId="0" borderId="46" xfId="0" applyFont="1" applyBorder="1" applyAlignment="1" applyProtection="1">
      <alignment horizontal="center" vertical="center"/>
      <protection hidden="1"/>
    </xf>
    <xf numFmtId="0" fontId="21" fillId="0" borderId="45" xfId="0" applyFont="1" applyBorder="1" applyAlignment="1" applyProtection="1">
      <alignment horizontal="center" vertical="center"/>
      <protection hidden="1"/>
    </xf>
    <xf numFmtId="0" fontId="21" fillId="0" borderId="47" xfId="0" applyFont="1" applyBorder="1" applyAlignment="1" applyProtection="1">
      <alignment horizontal="center" vertical="center"/>
      <protection hidden="1"/>
    </xf>
    <xf numFmtId="0" fontId="12" fillId="0" borderId="46" xfId="0" applyFont="1" applyBorder="1" applyProtection="1">
      <protection hidden="1"/>
    </xf>
    <xf numFmtId="0" fontId="12" fillId="0" borderId="45" xfId="0" applyFont="1" applyBorder="1" applyProtection="1">
      <protection hidden="1"/>
    </xf>
    <xf numFmtId="0" fontId="12" fillId="0" borderId="11" xfId="0" applyFont="1" applyBorder="1" applyAlignment="1" applyProtection="1">
      <alignment horizontal="right"/>
      <protection hidden="1"/>
    </xf>
    <xf numFmtId="0" fontId="12" fillId="0" borderId="45" xfId="0" applyFont="1" applyBorder="1" applyAlignment="1" applyProtection="1">
      <alignment horizontal="right"/>
      <protection hidden="1"/>
    </xf>
    <xf numFmtId="0" fontId="12" fillId="0" borderId="47" xfId="0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2" fontId="12" fillId="0" borderId="4" xfId="0" applyNumberFormat="1" applyFont="1" applyBorder="1" applyAlignment="1" applyProtection="1">
      <alignment horizontal="right"/>
      <protection hidden="1"/>
    </xf>
    <xf numFmtId="164" fontId="12" fillId="0" borderId="15" xfId="0" applyNumberFormat="1" applyFont="1" applyBorder="1" applyAlignment="1" applyProtection="1">
      <alignment horizontal="right"/>
      <protection hidden="1"/>
    </xf>
    <xf numFmtId="0" fontId="19" fillId="0" borderId="46" xfId="0" applyFont="1" applyBorder="1" applyProtection="1">
      <protection hidden="1"/>
    </xf>
    <xf numFmtId="0" fontId="19" fillId="0" borderId="45" xfId="0" applyFont="1" applyBorder="1" applyProtection="1">
      <protection hidden="1"/>
    </xf>
    <xf numFmtId="0" fontId="19" fillId="0" borderId="11" xfId="0" applyFont="1" applyBorder="1" applyAlignment="1" applyProtection="1">
      <alignment horizontal="right"/>
      <protection hidden="1"/>
    </xf>
    <xf numFmtId="0" fontId="19" fillId="0" borderId="45" xfId="0" applyFont="1" applyBorder="1" applyAlignment="1" applyProtection="1">
      <alignment horizontal="right"/>
      <protection hidden="1"/>
    </xf>
    <xf numFmtId="0" fontId="19" fillId="0" borderId="47" xfId="0" applyFont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2" fontId="19" fillId="0" borderId="0" xfId="0" applyNumberFormat="1" applyFont="1" applyAlignment="1" applyProtection="1">
      <alignment horizontal="right"/>
      <protection hidden="1"/>
    </xf>
    <xf numFmtId="164" fontId="19" fillId="0" borderId="0" xfId="0" applyNumberFormat="1" applyFont="1" applyAlignment="1" applyProtection="1">
      <alignment horizontal="right"/>
      <protection hidden="1"/>
    </xf>
    <xf numFmtId="164" fontId="19" fillId="0" borderId="15" xfId="0" applyNumberFormat="1" applyFont="1" applyBorder="1" applyAlignment="1" applyProtection="1">
      <alignment horizontal="right"/>
      <protection hidden="1"/>
    </xf>
    <xf numFmtId="0" fontId="21" fillId="0" borderId="4" xfId="0" applyFont="1" applyBorder="1" applyProtection="1">
      <protection hidden="1"/>
    </xf>
    <xf numFmtId="0" fontId="12" fillId="0" borderId="48" xfId="0" applyFont="1" applyBorder="1" applyAlignment="1" applyProtection="1">
      <alignment horizontal="right"/>
      <protection hidden="1"/>
    </xf>
    <xf numFmtId="0" fontId="12" fillId="0" borderId="15" xfId="0" applyFont="1" applyBorder="1" applyAlignment="1" applyProtection="1">
      <alignment horizontal="center"/>
      <protection hidden="1"/>
    </xf>
    <xf numFmtId="0" fontId="20" fillId="0" borderId="4" xfId="0" applyFont="1" applyBorder="1" applyProtection="1">
      <protection hidden="1"/>
    </xf>
    <xf numFmtId="0" fontId="19" fillId="0" borderId="48" xfId="0" applyFont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15" xfId="0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48" xfId="0" applyNumberFormat="1" applyFont="1" applyBorder="1" applyAlignment="1" applyProtection="1">
      <alignment horizontal="right"/>
      <protection hidden="1"/>
    </xf>
    <xf numFmtId="0" fontId="12" fillId="0" borderId="15" xfId="0" applyFont="1" applyBorder="1" applyProtection="1">
      <protection hidden="1"/>
    </xf>
    <xf numFmtId="0" fontId="19" fillId="0" borderId="4" xfId="0" applyFont="1" applyBorder="1" applyProtection="1">
      <protection hidden="1"/>
    </xf>
    <xf numFmtId="1" fontId="19" fillId="0" borderId="48" xfId="0" applyNumberFormat="1" applyFont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left"/>
      <protection hidden="1"/>
    </xf>
    <xf numFmtId="0" fontId="19" fillId="0" borderId="15" xfId="0" applyFont="1" applyBorder="1" applyProtection="1">
      <protection hidden="1"/>
    </xf>
    <xf numFmtId="1" fontId="19" fillId="0" borderId="0" xfId="0" applyNumberFormat="1" applyFont="1" applyAlignment="1" applyProtection="1">
      <alignment horizontal="right"/>
      <protection hidden="1"/>
    </xf>
    <xf numFmtId="0" fontId="12" fillId="0" borderId="48" xfId="0" applyFont="1" applyBorder="1" applyProtection="1">
      <protection hidden="1"/>
    </xf>
    <xf numFmtId="0" fontId="19" fillId="0" borderId="48" xfId="0" applyFont="1" applyBorder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9" fillId="0" borderId="49" xfId="0" applyFont="1" applyBorder="1" applyProtection="1">
      <protection hidden="1"/>
    </xf>
    <xf numFmtId="0" fontId="19" fillId="0" borderId="50" xfId="0" applyFont="1" applyBorder="1" applyProtection="1">
      <protection hidden="1"/>
    </xf>
    <xf numFmtId="2" fontId="19" fillId="0" borderId="11" xfId="0" applyNumberFormat="1" applyFont="1" applyBorder="1" applyProtection="1">
      <protection hidden="1"/>
    </xf>
    <xf numFmtId="0" fontId="19" fillId="0" borderId="50" xfId="0" applyFont="1" applyBorder="1" applyAlignment="1" applyProtection="1">
      <alignment horizontal="left"/>
      <protection hidden="1"/>
    </xf>
    <xf numFmtId="0" fontId="19" fillId="0" borderId="51" xfId="0" applyFont="1" applyBorder="1" applyAlignment="1" applyProtection="1">
      <alignment horizontal="center"/>
      <protection hidden="1"/>
    </xf>
    <xf numFmtId="0" fontId="12" fillId="0" borderId="49" xfId="0" applyFont="1" applyBorder="1" applyProtection="1">
      <protection hidden="1"/>
    </xf>
    <xf numFmtId="0" fontId="12" fillId="0" borderId="50" xfId="0" applyFont="1" applyBorder="1" applyProtection="1">
      <protection hidden="1"/>
    </xf>
    <xf numFmtId="2" fontId="12" fillId="0" borderId="11" xfId="0" applyNumberFormat="1" applyFont="1" applyBorder="1" applyProtection="1">
      <protection hidden="1"/>
    </xf>
    <xf numFmtId="0" fontId="12" fillId="0" borderId="50" xfId="0" applyFont="1" applyBorder="1" applyAlignment="1" applyProtection="1">
      <alignment horizontal="left"/>
      <protection hidden="1"/>
    </xf>
    <xf numFmtId="10" fontId="12" fillId="0" borderId="51" xfId="0" applyNumberFormat="1" applyFont="1" applyBorder="1" applyAlignment="1" applyProtection="1">
      <alignment horizontal="center"/>
      <protection hidden="1"/>
    </xf>
    <xf numFmtId="164" fontId="19" fillId="0" borderId="11" xfId="0" applyNumberFormat="1" applyFont="1" applyBorder="1" applyAlignment="1" applyProtection="1">
      <alignment horizontal="center"/>
      <protection hidden="1"/>
    </xf>
    <xf numFmtId="1" fontId="12" fillId="0" borderId="0" xfId="0" applyNumberFormat="1" applyFont="1" applyAlignment="1" applyProtection="1">
      <alignment horizontal="center"/>
      <protection hidden="1"/>
    </xf>
    <xf numFmtId="164" fontId="12" fillId="0" borderId="11" xfId="0" applyNumberFormat="1" applyFont="1" applyBorder="1" applyAlignment="1" applyProtection="1">
      <alignment horizontal="center"/>
      <protection hidden="1"/>
    </xf>
    <xf numFmtId="164" fontId="19" fillId="0" borderId="44" xfId="0" applyNumberFormat="1" applyFont="1" applyBorder="1" applyAlignment="1" applyProtection="1">
      <alignment horizontal="center"/>
      <protection hidden="1"/>
    </xf>
    <xf numFmtId="164" fontId="12" fillId="0" borderId="44" xfId="0" applyNumberFormat="1" applyFont="1" applyBorder="1" applyAlignment="1" applyProtection="1">
      <alignment horizontal="center"/>
      <protection hidden="1"/>
    </xf>
    <xf numFmtId="0" fontId="20" fillId="0" borderId="49" xfId="0" applyFont="1" applyBorder="1" applyProtection="1">
      <protection hidden="1"/>
    </xf>
    <xf numFmtId="0" fontId="20" fillId="0" borderId="50" xfId="0" applyFont="1" applyBorder="1" applyProtection="1">
      <protection hidden="1"/>
    </xf>
    <xf numFmtId="0" fontId="20" fillId="0" borderId="50" xfId="0" applyFont="1" applyBorder="1" applyAlignment="1" applyProtection="1">
      <alignment horizontal="right"/>
      <protection hidden="1"/>
    </xf>
    <xf numFmtId="0" fontId="19" fillId="0" borderId="50" xfId="0" applyFont="1" applyBorder="1" applyAlignment="1" applyProtection="1">
      <alignment horizontal="right"/>
      <protection hidden="1"/>
    </xf>
    <xf numFmtId="0" fontId="19" fillId="0" borderId="50" xfId="0" applyFont="1" applyBorder="1" applyAlignment="1" applyProtection="1">
      <alignment horizontal="center"/>
      <protection hidden="1"/>
    </xf>
    <xf numFmtId="2" fontId="19" fillId="0" borderId="51" xfId="0" applyNumberFormat="1" applyFont="1" applyBorder="1" applyAlignment="1" applyProtection="1">
      <alignment horizontal="center"/>
      <protection hidden="1"/>
    </xf>
    <xf numFmtId="0" fontId="21" fillId="0" borderId="49" xfId="0" applyFont="1" applyBorder="1" applyProtection="1">
      <protection hidden="1"/>
    </xf>
    <xf numFmtId="0" fontId="21" fillId="0" borderId="50" xfId="0" applyFont="1" applyBorder="1" applyProtection="1">
      <protection hidden="1"/>
    </xf>
    <xf numFmtId="0" fontId="21" fillId="0" borderId="50" xfId="0" applyFont="1" applyBorder="1" applyAlignment="1" applyProtection="1">
      <alignment horizontal="right"/>
      <protection hidden="1"/>
    </xf>
    <xf numFmtId="0" fontId="12" fillId="0" borderId="50" xfId="0" applyFont="1" applyBorder="1" applyAlignment="1" applyProtection="1">
      <alignment horizontal="right"/>
      <protection hidden="1"/>
    </xf>
    <xf numFmtId="0" fontId="12" fillId="0" borderId="50" xfId="0" applyFont="1" applyBorder="1" applyAlignment="1" applyProtection="1">
      <alignment horizontal="center"/>
      <protection hidden="1"/>
    </xf>
    <xf numFmtId="0" fontId="12" fillId="0" borderId="50" xfId="0" applyFont="1" applyBorder="1"/>
    <xf numFmtId="2" fontId="12" fillId="0" borderId="11" xfId="0" applyNumberFormat="1" applyFont="1" applyBorder="1" applyAlignment="1" applyProtection="1">
      <alignment horizontal="center"/>
      <protection hidden="1"/>
    </xf>
    <xf numFmtId="167" fontId="19" fillId="0" borderId="0" xfId="0" applyNumberFormat="1" applyFont="1" applyAlignment="1" applyProtection="1">
      <alignment horizontal="center"/>
      <protection hidden="1"/>
    </xf>
    <xf numFmtId="2" fontId="19" fillId="0" borderId="15" xfId="0" applyNumberFormat="1" applyFont="1" applyBorder="1" applyAlignment="1" applyProtection="1">
      <alignment horizontal="right"/>
      <protection hidden="1"/>
    </xf>
    <xf numFmtId="4" fontId="19" fillId="0" borderId="48" xfId="0" applyNumberFormat="1" applyFont="1" applyBorder="1" applyAlignment="1" applyProtection="1">
      <alignment horizontal="right"/>
      <protection hidden="1"/>
    </xf>
    <xf numFmtId="167" fontId="12" fillId="0" borderId="0" xfId="0" applyNumberFormat="1" applyFont="1" applyAlignment="1" applyProtection="1">
      <alignment horizontal="center"/>
      <protection hidden="1"/>
    </xf>
    <xf numFmtId="2" fontId="12" fillId="0" borderId="0" xfId="0" applyNumberFormat="1" applyFont="1"/>
    <xf numFmtId="2" fontId="12" fillId="8" borderId="48" xfId="0" applyNumberFormat="1" applyFont="1" applyFill="1" applyBorder="1" applyAlignment="1" applyProtection="1">
      <alignment horizontal="right"/>
      <protection hidden="1"/>
    </xf>
    <xf numFmtId="4" fontId="12" fillId="0" borderId="48" xfId="0" applyNumberFormat="1" applyFont="1" applyBorder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2" fontId="19" fillId="0" borderId="0" xfId="0" applyNumberFormat="1" applyFont="1" applyProtection="1">
      <protection hidden="1"/>
    </xf>
    <xf numFmtId="0" fontId="12" fillId="0" borderId="42" xfId="0" applyFont="1" applyBorder="1"/>
    <xf numFmtId="0" fontId="0" fillId="0" borderId="42" xfId="0" applyBorder="1"/>
    <xf numFmtId="0" fontId="0" fillId="0" borderId="42" xfId="0" applyBorder="1" applyAlignment="1">
      <alignment horizontal="center"/>
    </xf>
    <xf numFmtId="2" fontId="12" fillId="0" borderId="42" xfId="0" applyNumberFormat="1" applyFont="1" applyBorder="1"/>
    <xf numFmtId="2" fontId="12" fillId="0" borderId="52" xfId="0" applyNumberFormat="1" applyFont="1" applyBorder="1"/>
    <xf numFmtId="2" fontId="12" fillId="0" borderId="45" xfId="0" applyNumberFormat="1" applyFont="1" applyBorder="1"/>
    <xf numFmtId="0" fontId="12" fillId="0" borderId="52" xfId="0" applyFont="1" applyBorder="1" applyProtection="1">
      <protection hidden="1"/>
    </xf>
    <xf numFmtId="0" fontId="12" fillId="0" borderId="42" xfId="0" applyFont="1" applyBorder="1" applyProtection="1">
      <protection hidden="1"/>
    </xf>
    <xf numFmtId="0" fontId="12" fillId="0" borderId="42" xfId="0" applyFont="1" applyBorder="1" applyAlignment="1" applyProtection="1">
      <alignment horizontal="center"/>
      <protection hidden="1"/>
    </xf>
    <xf numFmtId="167" fontId="12" fillId="0" borderId="42" xfId="0" applyNumberFormat="1" applyFont="1" applyBorder="1" applyAlignment="1" applyProtection="1">
      <alignment horizontal="center"/>
      <protection hidden="1"/>
    </xf>
    <xf numFmtId="2" fontId="12" fillId="8" borderId="53" xfId="0" applyNumberFormat="1" applyFont="1" applyFill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1" fillId="0" borderId="52" xfId="0" applyFont="1" applyBorder="1" applyProtection="1">
      <protection hidden="1"/>
    </xf>
    <xf numFmtId="0" fontId="21" fillId="0" borderId="42" xfId="0" applyFont="1" applyBorder="1" applyProtection="1">
      <protection hidden="1"/>
    </xf>
    <xf numFmtId="2" fontId="12" fillId="0" borderId="50" xfId="0" applyNumberFormat="1" applyFont="1" applyBorder="1"/>
    <xf numFmtId="0" fontId="0" fillId="8" borderId="4" xfId="0" applyFill="1" applyBorder="1" applyProtection="1">
      <protection hidden="1"/>
    </xf>
    <xf numFmtId="4" fontId="16" fillId="0" borderId="48" xfId="0" applyNumberFormat="1" applyFont="1" applyBorder="1" applyAlignment="1" applyProtection="1">
      <alignment horizontal="right"/>
      <protection hidden="1"/>
    </xf>
    <xf numFmtId="1" fontId="19" fillId="0" borderId="0" xfId="0" applyNumberFormat="1" applyFont="1" applyAlignment="1" applyProtection="1">
      <alignment horizontal="center"/>
      <protection hidden="1"/>
    </xf>
    <xf numFmtId="1" fontId="19" fillId="0" borderId="0" xfId="0" applyNumberFormat="1" applyFont="1" applyProtection="1">
      <protection hidden="1"/>
    </xf>
    <xf numFmtId="4" fontId="0" fillId="0" borderId="48" xfId="0" applyNumberFormat="1" applyBorder="1" applyAlignment="1" applyProtection="1">
      <alignment horizontal="right"/>
      <protection hidden="1"/>
    </xf>
    <xf numFmtId="0" fontId="19" fillId="0" borderId="52" xfId="0" applyFont="1" applyBorder="1" applyProtection="1">
      <protection hidden="1"/>
    </xf>
    <xf numFmtId="0" fontId="19" fillId="0" borderId="42" xfId="0" applyFont="1" applyBorder="1" applyProtection="1">
      <protection hidden="1"/>
    </xf>
    <xf numFmtId="0" fontId="19" fillId="0" borderId="42" xfId="0" applyFont="1" applyBorder="1" applyAlignment="1" applyProtection="1">
      <alignment horizontal="right"/>
      <protection hidden="1"/>
    </xf>
    <xf numFmtId="0" fontId="19" fillId="0" borderId="42" xfId="0" applyFont="1" applyBorder="1" applyAlignment="1" applyProtection="1">
      <alignment horizontal="center"/>
      <protection hidden="1"/>
    </xf>
    <xf numFmtId="2" fontId="19" fillId="0" borderId="54" xfId="0" applyNumberFormat="1" applyFont="1" applyBorder="1" applyAlignment="1" applyProtection="1">
      <alignment horizontal="right"/>
      <protection hidden="1"/>
    </xf>
    <xf numFmtId="0" fontId="20" fillId="0" borderId="46" xfId="0" applyFont="1" applyBorder="1" applyProtection="1">
      <protection hidden="1"/>
    </xf>
    <xf numFmtId="0" fontId="19" fillId="0" borderId="45" xfId="0" applyFont="1" applyBorder="1" applyAlignment="1" applyProtection="1">
      <alignment horizontal="center"/>
      <protection hidden="1"/>
    </xf>
    <xf numFmtId="2" fontId="19" fillId="0" borderId="45" xfId="0" applyNumberFormat="1" applyFont="1" applyBorder="1" applyAlignment="1" applyProtection="1">
      <alignment horizontal="right"/>
      <protection hidden="1"/>
    </xf>
    <xf numFmtId="4" fontId="19" fillId="0" borderId="44" xfId="0" applyNumberFormat="1" applyFont="1" applyBorder="1" applyAlignment="1" applyProtection="1">
      <alignment horizontal="right"/>
      <protection hidden="1"/>
    </xf>
    <xf numFmtId="2" fontId="19" fillId="0" borderId="42" xfId="0" applyNumberFormat="1" applyFont="1" applyBorder="1" applyAlignment="1" applyProtection="1">
      <alignment horizontal="right"/>
      <protection hidden="1"/>
    </xf>
    <xf numFmtId="4" fontId="19" fillId="0" borderId="53" xfId="0" applyNumberFormat="1" applyFont="1" applyBorder="1" applyAlignment="1" applyProtection="1">
      <alignment horizontal="right"/>
      <protection hidden="1"/>
    </xf>
    <xf numFmtId="0" fontId="21" fillId="0" borderId="0" xfId="0" applyFont="1" applyProtection="1">
      <protection hidden="1"/>
    </xf>
    <xf numFmtId="1" fontId="12" fillId="0" borderId="0" xfId="0" applyNumberFormat="1" applyFont="1" applyProtection="1">
      <protection hidden="1"/>
    </xf>
    <xf numFmtId="2" fontId="12" fillId="0" borderId="48" xfId="0" applyNumberFormat="1" applyFont="1" applyBorder="1" applyAlignment="1" applyProtection="1">
      <alignment horizontal="right"/>
      <protection hidden="1"/>
    </xf>
    <xf numFmtId="0" fontId="12" fillId="0" borderId="42" xfId="0" applyFont="1" applyBorder="1" applyAlignment="1" applyProtection="1">
      <alignment horizontal="right"/>
      <protection hidden="1"/>
    </xf>
    <xf numFmtId="2" fontId="12" fillId="0" borderId="53" xfId="0" applyNumberFormat="1" applyFont="1" applyBorder="1" applyAlignment="1" applyProtection="1">
      <alignment horizontal="right"/>
      <protection hidden="1"/>
    </xf>
    <xf numFmtId="0" fontId="21" fillId="0" borderId="46" xfId="0" applyFont="1" applyBorder="1" applyProtection="1">
      <protection hidden="1"/>
    </xf>
    <xf numFmtId="0" fontId="12" fillId="0" borderId="45" xfId="0" applyFont="1" applyBorder="1" applyAlignment="1" applyProtection="1">
      <alignment horizontal="center"/>
      <protection hidden="1"/>
    </xf>
    <xf numFmtId="2" fontId="12" fillId="0" borderId="46" xfId="0" applyNumberFormat="1" applyFont="1" applyBorder="1" applyAlignment="1" applyProtection="1">
      <alignment horizontal="right"/>
      <protection hidden="1"/>
    </xf>
    <xf numFmtId="4" fontId="12" fillId="0" borderId="44" xfId="0" applyNumberFormat="1" applyFont="1" applyBorder="1" applyAlignment="1" applyProtection="1">
      <alignment horizontal="right"/>
      <protection hidden="1"/>
    </xf>
    <xf numFmtId="2" fontId="12" fillId="0" borderId="52" xfId="0" applyNumberFormat="1" applyFont="1" applyBorder="1" applyAlignment="1" applyProtection="1">
      <alignment horizontal="right"/>
      <protection hidden="1"/>
    </xf>
    <xf numFmtId="4" fontId="12" fillId="0" borderId="53" xfId="0" applyNumberFormat="1" applyFont="1" applyBorder="1" applyAlignment="1" applyProtection="1">
      <alignment horizontal="right"/>
      <protection hidden="1"/>
    </xf>
    <xf numFmtId="0" fontId="19" fillId="0" borderId="4" xfId="0" applyFont="1" applyBorder="1" applyAlignment="1" applyProtection="1">
      <alignment horizontal="left"/>
      <protection hidden="1"/>
    </xf>
    <xf numFmtId="0" fontId="12" fillId="0" borderId="4" xfId="0" applyFont="1" applyBorder="1" applyAlignment="1" applyProtection="1">
      <alignment horizontal="left"/>
      <protection hidden="1"/>
    </xf>
    <xf numFmtId="2" fontId="12" fillId="0" borderId="42" xfId="0" applyNumberFormat="1" applyFont="1" applyBorder="1" applyAlignment="1" applyProtection="1">
      <alignment horizontal="right"/>
      <protection hidden="1"/>
    </xf>
    <xf numFmtId="2" fontId="19" fillId="0" borderId="50" xfId="0" applyNumberFormat="1" applyFont="1" applyBorder="1" applyAlignment="1" applyProtection="1">
      <alignment horizontal="right"/>
      <protection hidden="1"/>
    </xf>
    <xf numFmtId="4" fontId="19" fillId="0" borderId="11" xfId="0" applyNumberFormat="1" applyFont="1" applyBorder="1" applyAlignment="1" applyProtection="1">
      <alignment horizontal="right"/>
      <protection hidden="1"/>
    </xf>
    <xf numFmtId="165" fontId="19" fillId="0" borderId="4" xfId="0" applyNumberFormat="1" applyFont="1" applyBorder="1" applyProtection="1">
      <protection hidden="1"/>
    </xf>
    <xf numFmtId="2" fontId="12" fillId="0" borderId="49" xfId="0" applyNumberFormat="1" applyFont="1" applyBorder="1" applyAlignment="1" applyProtection="1">
      <alignment horizontal="right"/>
      <protection hidden="1"/>
    </xf>
    <xf numFmtId="4" fontId="12" fillId="0" borderId="11" xfId="0" applyNumberFormat="1" applyFont="1" applyBorder="1" applyAlignment="1" applyProtection="1">
      <alignment horizontal="right"/>
      <protection hidden="1"/>
    </xf>
    <xf numFmtId="168" fontId="19" fillId="0" borderId="0" xfId="0" applyNumberFormat="1" applyFont="1" applyProtection="1">
      <protection hidden="1"/>
    </xf>
    <xf numFmtId="165" fontId="12" fillId="0" borderId="4" xfId="0" applyNumberFormat="1" applyFont="1" applyBorder="1" applyProtection="1">
      <protection hidden="1"/>
    </xf>
    <xf numFmtId="2" fontId="19" fillId="0" borderId="45" xfId="0" applyNumberFormat="1" applyFont="1" applyBorder="1" applyProtection="1">
      <protection hidden="1"/>
    </xf>
    <xf numFmtId="167" fontId="19" fillId="0" borderId="0" xfId="0" applyNumberFormat="1" applyFont="1" applyProtection="1">
      <protection hidden="1"/>
    </xf>
    <xf numFmtId="2" fontId="19" fillId="0" borderId="50" xfId="0" applyNumberFormat="1" applyFont="1" applyBorder="1" applyProtection="1">
      <protection hidden="1"/>
    </xf>
    <xf numFmtId="2" fontId="19" fillId="0" borderId="50" xfId="0" applyNumberFormat="1" applyFont="1" applyBorder="1" applyAlignment="1" applyProtection="1">
      <alignment horizontal="center"/>
      <protection hidden="1"/>
    </xf>
    <xf numFmtId="0" fontId="16" fillId="0" borderId="42" xfId="0" applyFont="1" applyBorder="1" applyProtection="1">
      <protection hidden="1"/>
    </xf>
    <xf numFmtId="0" fontId="16" fillId="0" borderId="45" xfId="0" applyFont="1" applyBorder="1" applyProtection="1">
      <protection hidden="1"/>
    </xf>
    <xf numFmtId="0" fontId="22" fillId="0" borderId="47" xfId="0" applyFont="1" applyBorder="1" applyAlignment="1" applyProtection="1">
      <alignment horizontal="center"/>
      <protection hidden="1"/>
    </xf>
    <xf numFmtId="164" fontId="20" fillId="0" borderId="44" xfId="0" applyNumberFormat="1" applyFont="1" applyBorder="1" applyAlignment="1" applyProtection="1">
      <alignment horizontal="center"/>
      <protection hidden="1"/>
    </xf>
    <xf numFmtId="2" fontId="20" fillId="0" borderId="15" xfId="0" applyNumberFormat="1" applyFont="1" applyBorder="1" applyAlignment="1" applyProtection="1">
      <alignment horizontal="right"/>
      <protection hidden="1"/>
    </xf>
    <xf numFmtId="164" fontId="20" fillId="0" borderId="48" xfId="0" applyNumberFormat="1" applyFont="1" applyBorder="1" applyAlignment="1" applyProtection="1">
      <alignment horizontal="center"/>
      <protection hidden="1"/>
    </xf>
    <xf numFmtId="0" fontId="22" fillId="0" borderId="15" xfId="0" applyFont="1" applyBorder="1" applyProtection="1">
      <protection hidden="1"/>
    </xf>
    <xf numFmtId="4" fontId="20" fillId="0" borderId="48" xfId="0" applyNumberFormat="1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right"/>
      <protection hidden="1"/>
    </xf>
    <xf numFmtId="2" fontId="19" fillId="0" borderId="4" xfId="0" applyNumberFormat="1" applyFont="1" applyBorder="1" applyAlignment="1" applyProtection="1">
      <alignment horizontal="center"/>
      <protection hidden="1"/>
    </xf>
    <xf numFmtId="2" fontId="19" fillId="0" borderId="48" xfId="0" applyNumberFormat="1" applyFont="1" applyBorder="1" applyAlignment="1" applyProtection="1">
      <alignment horizontal="center"/>
      <protection hidden="1"/>
    </xf>
    <xf numFmtId="2" fontId="19" fillId="0" borderId="15" xfId="0" applyNumberFormat="1" applyFont="1" applyBorder="1" applyAlignment="1" applyProtection="1">
      <alignment horizontal="center"/>
      <protection hidden="1"/>
    </xf>
    <xf numFmtId="4" fontId="22" fillId="0" borderId="55" xfId="0" applyNumberFormat="1" applyFont="1" applyBorder="1" applyAlignment="1" applyProtection="1">
      <alignment horizontal="center"/>
      <protection hidden="1"/>
    </xf>
    <xf numFmtId="4" fontId="22" fillId="0" borderId="56" xfId="0" applyNumberFormat="1" applyFont="1" applyBorder="1" applyAlignment="1" applyProtection="1">
      <alignment horizontal="center"/>
      <protection hidden="1"/>
    </xf>
    <xf numFmtId="4" fontId="22" fillId="0" borderId="57" xfId="0" applyNumberFormat="1" applyFont="1" applyBorder="1" applyAlignment="1" applyProtection="1">
      <alignment horizontal="center"/>
      <protection hidden="1"/>
    </xf>
    <xf numFmtId="4" fontId="19" fillId="0" borderId="48" xfId="0" applyNumberFormat="1" applyFont="1" applyBorder="1" applyAlignment="1" applyProtection="1">
      <alignment horizontal="center"/>
      <protection hidden="1"/>
    </xf>
    <xf numFmtId="0" fontId="16" fillId="0" borderId="54" xfId="0" applyFont="1" applyBorder="1" applyAlignment="1" applyProtection="1">
      <alignment horizontal="right"/>
      <protection hidden="1"/>
    </xf>
    <xf numFmtId="2" fontId="19" fillId="0" borderId="52" xfId="0" applyNumberFormat="1" applyFont="1" applyBorder="1" applyAlignment="1" applyProtection="1">
      <alignment horizontal="center"/>
      <protection hidden="1"/>
    </xf>
    <xf numFmtId="2" fontId="19" fillId="0" borderId="53" xfId="0" applyNumberFormat="1" applyFont="1" applyBorder="1" applyAlignment="1" applyProtection="1">
      <alignment horizontal="center"/>
      <protection hidden="1"/>
    </xf>
    <xf numFmtId="0" fontId="19" fillId="0" borderId="54" xfId="0" applyFont="1" applyBorder="1" applyAlignment="1" applyProtection="1">
      <alignment horizontal="center"/>
      <protection hidden="1"/>
    </xf>
    <xf numFmtId="2" fontId="12" fillId="0" borderId="52" xfId="0" applyNumberFormat="1" applyFont="1" applyBorder="1" applyProtection="1"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0" fillId="0" borderId="45" xfId="0" applyBorder="1" applyProtection="1">
      <protection hidden="1"/>
    </xf>
    <xf numFmtId="0" fontId="3" fillId="0" borderId="47" xfId="0" applyFont="1" applyBorder="1" applyAlignment="1" applyProtection="1">
      <alignment horizontal="center"/>
      <protection hidden="1"/>
    </xf>
    <xf numFmtId="164" fontId="21" fillId="0" borderId="44" xfId="0" applyNumberFormat="1" applyFont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2" fontId="21" fillId="0" borderId="15" xfId="0" applyNumberFormat="1" applyFont="1" applyBorder="1" applyAlignment="1" applyProtection="1">
      <alignment horizontal="right"/>
      <protection hidden="1"/>
    </xf>
    <xf numFmtId="164" fontId="21" fillId="0" borderId="48" xfId="0" applyNumberFormat="1" applyFont="1" applyBorder="1" applyAlignment="1" applyProtection="1">
      <alignment horizontal="center"/>
      <protection hidden="1"/>
    </xf>
    <xf numFmtId="0" fontId="3" fillId="0" borderId="15" xfId="0" applyFont="1" applyBorder="1" applyProtection="1">
      <protection hidden="1"/>
    </xf>
    <xf numFmtId="4" fontId="3" fillId="0" borderId="48" xfId="0" applyNumberFormat="1" applyFont="1" applyBorder="1" applyAlignment="1" applyProtection="1">
      <alignment horizontal="center"/>
      <protection hidden="1"/>
    </xf>
    <xf numFmtId="167" fontId="16" fillId="0" borderId="0" xfId="0" applyNumberFormat="1" applyFont="1" applyProtection="1">
      <protection hidden="1"/>
    </xf>
    <xf numFmtId="167" fontId="19" fillId="0" borderId="0" xfId="0" applyNumberFormat="1" applyFont="1" applyAlignment="1" applyProtection="1">
      <alignment horizontal="right"/>
      <protection hidden="1"/>
    </xf>
    <xf numFmtId="2" fontId="0" fillId="0" borderId="4" xfId="0" applyNumberFormat="1" applyBorder="1" applyAlignment="1" applyProtection="1">
      <alignment horizontal="center"/>
      <protection hidden="1"/>
    </xf>
    <xf numFmtId="2" fontId="0" fillId="0" borderId="48" xfId="0" applyNumberFormat="1" applyBorder="1" applyAlignment="1" applyProtection="1">
      <alignment horizontal="center"/>
      <protection hidden="1"/>
    </xf>
    <xf numFmtId="2" fontId="0" fillId="0" borderId="15" xfId="0" applyNumberFormat="1" applyBorder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40" fontId="3" fillId="0" borderId="55" xfId="0" applyNumberFormat="1" applyFont="1" applyBorder="1" applyAlignment="1" applyProtection="1">
      <alignment horizontal="center"/>
      <protection hidden="1"/>
    </xf>
    <xf numFmtId="40" fontId="3" fillId="0" borderId="56" xfId="0" applyNumberFormat="1" applyFont="1" applyBorder="1" applyAlignment="1" applyProtection="1">
      <alignment horizontal="center"/>
      <protection hidden="1"/>
    </xf>
    <xf numFmtId="40" fontId="3" fillId="0" borderId="57" xfId="0" applyNumberFormat="1" applyFont="1" applyBorder="1" applyAlignment="1" applyProtection="1">
      <alignment horizontal="center"/>
      <protection hidden="1"/>
    </xf>
    <xf numFmtId="4" fontId="0" fillId="0" borderId="48" xfId="0" applyNumberFormat="1" applyBorder="1" applyAlignment="1" applyProtection="1">
      <alignment horizontal="center"/>
      <protection hidden="1"/>
    </xf>
    <xf numFmtId="0" fontId="0" fillId="0" borderId="54" xfId="0" applyBorder="1" applyAlignment="1" applyProtection="1">
      <alignment horizontal="right"/>
      <protection hidden="1"/>
    </xf>
    <xf numFmtId="2" fontId="0" fillId="0" borderId="52" xfId="0" applyNumberFormat="1" applyBorder="1" applyAlignment="1" applyProtection="1">
      <alignment horizontal="center"/>
      <protection hidden="1"/>
    </xf>
    <xf numFmtId="2" fontId="0" fillId="0" borderId="53" xfId="0" applyNumberFormat="1" applyBorder="1" applyAlignment="1" applyProtection="1">
      <alignment horizontal="center"/>
      <protection hidden="1"/>
    </xf>
    <xf numFmtId="0" fontId="0" fillId="0" borderId="54" xfId="0" applyBorder="1" applyAlignment="1" applyProtection="1">
      <alignment horizontal="center"/>
      <protection hidden="1"/>
    </xf>
    <xf numFmtId="2" fontId="16" fillId="0" borderId="0" xfId="0" applyNumberFormat="1" applyFont="1" applyProtection="1">
      <protection hidden="1"/>
    </xf>
    <xf numFmtId="0" fontId="0" fillId="0" borderId="42" xfId="0" applyBorder="1" applyAlignment="1" applyProtection="1">
      <alignment horizontal="right"/>
      <protection hidden="1"/>
    </xf>
    <xf numFmtId="167" fontId="0" fillId="0" borderId="42" xfId="0" applyNumberFormat="1" applyBorder="1" applyAlignment="1" applyProtection="1">
      <alignment horizontal="center"/>
      <protection hidden="1"/>
    </xf>
    <xf numFmtId="0" fontId="0" fillId="0" borderId="54" xfId="0" applyBorder="1" applyAlignment="1" applyProtection="1">
      <alignment horizontal="left"/>
      <protection hidden="1"/>
    </xf>
    <xf numFmtId="9" fontId="16" fillId="0" borderId="0" xfId="0" applyNumberFormat="1" applyFont="1" applyAlignment="1" applyProtection="1">
      <alignment horizontal="right"/>
      <protection hidden="1"/>
    </xf>
    <xf numFmtId="0" fontId="0" fillId="0" borderId="4" xfId="0" applyBorder="1"/>
    <xf numFmtId="0" fontId="4" fillId="0" borderId="0" xfId="0" applyFont="1" applyAlignment="1" applyProtection="1">
      <alignment horizontal="right"/>
      <protection hidden="1"/>
    </xf>
    <xf numFmtId="9" fontId="0" fillId="0" borderId="0" xfId="0" applyNumberFormat="1" applyAlignment="1" applyProtection="1">
      <alignment horizontal="right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9" fontId="16" fillId="0" borderId="25" xfId="0" applyNumberFormat="1" applyFont="1" applyBorder="1" applyAlignment="1" applyProtection="1">
      <alignment horizontal="right"/>
      <protection hidden="1"/>
    </xf>
    <xf numFmtId="0" fontId="4" fillId="0" borderId="25" xfId="0" applyFont="1" applyBorder="1" applyAlignment="1" applyProtection="1">
      <alignment horizontal="right"/>
      <protection hidden="1"/>
    </xf>
    <xf numFmtId="9" fontId="0" fillId="0" borderId="25" xfId="0" applyNumberFormat="1" applyBorder="1" applyAlignment="1" applyProtection="1">
      <alignment horizontal="right"/>
      <protection hidden="1"/>
    </xf>
    <xf numFmtId="9" fontId="16" fillId="0" borderId="42" xfId="0" applyNumberFormat="1" applyFont="1" applyBorder="1" applyAlignment="1" applyProtection="1">
      <alignment horizontal="right"/>
      <protection hidden="1"/>
    </xf>
    <xf numFmtId="9" fontId="0" fillId="0" borderId="42" xfId="0" applyNumberFormat="1" applyBorder="1" applyAlignment="1" applyProtection="1">
      <alignment horizontal="right"/>
      <protection hidden="1"/>
    </xf>
    <xf numFmtId="167" fontId="23" fillId="0" borderId="0" xfId="0" applyNumberFormat="1" applyFont="1" applyAlignment="1">
      <alignment horizontal="center"/>
    </xf>
    <xf numFmtId="2" fontId="18" fillId="0" borderId="0" xfId="0" applyNumberFormat="1" applyFont="1" applyAlignment="1" applyProtection="1">
      <alignment horizontal="right"/>
      <protection hidden="1"/>
    </xf>
    <xf numFmtId="164" fontId="18" fillId="0" borderId="0" xfId="0" applyNumberFormat="1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8" fillId="0" borderId="58" xfId="0" applyFont="1" applyBorder="1" applyProtection="1">
      <protection hidden="1"/>
    </xf>
    <xf numFmtId="0" fontId="18" fillId="0" borderId="59" xfId="0" applyFont="1" applyBorder="1" applyProtection="1">
      <protection hidden="1"/>
    </xf>
    <xf numFmtId="0" fontId="18" fillId="0" borderId="32" xfId="0" applyFont="1" applyBorder="1" applyAlignment="1" applyProtection="1">
      <alignment horizontal="center"/>
      <protection hidden="1"/>
    </xf>
    <xf numFmtId="0" fontId="18" fillId="0" borderId="32" xfId="0" applyFont="1" applyBorder="1" applyAlignment="1" applyProtection="1">
      <alignment horizontal="right"/>
      <protection hidden="1"/>
    </xf>
    <xf numFmtId="0" fontId="18" fillId="0" borderId="32" xfId="0" applyFont="1" applyBorder="1" applyProtection="1">
      <protection hidden="1"/>
    </xf>
    <xf numFmtId="0" fontId="18" fillId="0" borderId="2" xfId="0" applyFont="1" applyBorder="1" applyAlignment="1" applyProtection="1">
      <alignment horizontal="center"/>
      <protection hidden="1"/>
    </xf>
    <xf numFmtId="2" fontId="18" fillId="0" borderId="2" xfId="0" applyNumberFormat="1" applyFont="1" applyBorder="1" applyAlignment="1" applyProtection="1">
      <alignment horizontal="right"/>
      <protection hidden="1"/>
    </xf>
    <xf numFmtId="164" fontId="18" fillId="0" borderId="2" xfId="0" applyNumberFormat="1" applyFont="1" applyBorder="1" applyAlignment="1" applyProtection="1">
      <alignment horizontal="center"/>
      <protection hidden="1"/>
    </xf>
    <xf numFmtId="164" fontId="18" fillId="0" borderId="3" xfId="0" applyNumberFormat="1" applyFont="1" applyBorder="1" applyAlignment="1" applyProtection="1">
      <alignment horizontal="center"/>
      <protection hidden="1"/>
    </xf>
    <xf numFmtId="0" fontId="18" fillId="0" borderId="60" xfId="0" applyFont="1" applyBorder="1" applyProtection="1">
      <protection hidden="1"/>
    </xf>
    <xf numFmtId="0" fontId="18" fillId="0" borderId="2" xfId="0" applyFont="1" applyBorder="1" applyProtection="1">
      <protection hidden="1"/>
    </xf>
    <xf numFmtId="0" fontId="18" fillId="0" borderId="3" xfId="0" applyFont="1" applyBorder="1" applyProtection="1">
      <protection hidden="1"/>
    </xf>
    <xf numFmtId="0" fontId="18" fillId="0" borderId="30" xfId="0" applyFont="1" applyBorder="1" applyAlignment="1" applyProtection="1">
      <alignment horizontal="center"/>
      <protection hidden="1"/>
    </xf>
    <xf numFmtId="0" fontId="18" fillId="0" borderId="30" xfId="0" applyFont="1" applyBorder="1" applyProtection="1">
      <protection hidden="1"/>
    </xf>
    <xf numFmtId="164" fontId="19" fillId="0" borderId="0" xfId="0" applyNumberFormat="1" applyFont="1" applyAlignment="1" applyProtection="1">
      <alignment horizontal="center"/>
      <protection hidden="1"/>
    </xf>
    <xf numFmtId="0" fontId="4" fillId="0" borderId="0" xfId="0" applyFont="1"/>
    <xf numFmtId="164" fontId="18" fillId="0" borderId="5" xfId="0" applyNumberFormat="1" applyFont="1" applyBorder="1" applyAlignment="1" applyProtection="1">
      <alignment horizontal="center"/>
      <protection hidden="1"/>
    </xf>
    <xf numFmtId="0" fontId="18" fillId="0" borderId="1" xfId="0" applyFont="1" applyBorder="1" applyProtection="1">
      <protection hidden="1"/>
    </xf>
    <xf numFmtId="0" fontId="18" fillId="0" borderId="5" xfId="0" applyFont="1" applyBorder="1" applyProtection="1">
      <protection hidden="1"/>
    </xf>
    <xf numFmtId="0" fontId="4" fillId="0" borderId="30" xfId="0" applyFont="1" applyBorder="1" applyAlignment="1" applyProtection="1">
      <alignment horizontal="center"/>
      <protection hidden="1"/>
    </xf>
    <xf numFmtId="168" fontId="25" fillId="0" borderId="0" xfId="0" applyNumberFormat="1" applyFont="1"/>
    <xf numFmtId="164" fontId="12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>
      <alignment horizontal="center"/>
    </xf>
    <xf numFmtId="0" fontId="18" fillId="0" borderId="61" xfId="0" applyFont="1" applyBorder="1" applyProtection="1">
      <protection hidden="1"/>
    </xf>
    <xf numFmtId="2" fontId="4" fillId="0" borderId="32" xfId="0" applyNumberFormat="1" applyFont="1" applyBorder="1" applyAlignment="1" applyProtection="1">
      <alignment horizontal="center"/>
      <protection hidden="1"/>
    </xf>
    <xf numFmtId="168" fontId="25" fillId="0" borderId="0" xfId="0" applyNumberFormat="1" applyFont="1" applyAlignment="1" applyProtection="1">
      <alignment horizontal="center"/>
      <protection hidden="1"/>
    </xf>
    <xf numFmtId="0" fontId="18" fillId="0" borderId="62" xfId="0" applyFont="1" applyBorder="1" applyProtection="1">
      <protection hidden="1"/>
    </xf>
    <xf numFmtId="0" fontId="18" fillId="0" borderId="6" xfId="0" applyFont="1" applyBorder="1" applyProtection="1">
      <protection hidden="1"/>
    </xf>
    <xf numFmtId="2" fontId="4" fillId="0" borderId="6" xfId="0" applyNumberFormat="1" applyFont="1" applyBorder="1" applyAlignment="1" applyProtection="1">
      <alignment horizontal="center"/>
      <protection hidden="1"/>
    </xf>
    <xf numFmtId="0" fontId="18" fillId="0" borderId="6" xfId="0" applyFont="1" applyBorder="1" applyAlignment="1" applyProtection="1">
      <alignment horizontal="left"/>
      <protection hidden="1"/>
    </xf>
    <xf numFmtId="0" fontId="12" fillId="0" borderId="6" xfId="0" applyFont="1" applyBorder="1" applyAlignment="1" applyProtection="1">
      <alignment horizontal="center"/>
      <protection hidden="1"/>
    </xf>
    <xf numFmtId="2" fontId="12" fillId="0" borderId="6" xfId="0" applyNumberFormat="1" applyFont="1" applyBorder="1" applyAlignment="1" applyProtection="1">
      <alignment horizontal="right"/>
      <protection hidden="1"/>
    </xf>
    <xf numFmtId="164" fontId="12" fillId="0" borderId="6" xfId="0" applyNumberFormat="1" applyFont="1" applyBorder="1" applyAlignment="1" applyProtection="1">
      <alignment horizontal="center"/>
      <protection hidden="1"/>
    </xf>
    <xf numFmtId="164" fontId="18" fillId="0" borderId="7" xfId="0" applyNumberFormat="1" applyFont="1" applyBorder="1" applyAlignment="1" applyProtection="1">
      <alignment horizontal="center"/>
      <protection hidden="1"/>
    </xf>
    <xf numFmtId="0" fontId="4" fillId="0" borderId="60" xfId="0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4" fillId="0" borderId="1" xfId="0" applyFont="1" applyBorder="1" applyProtection="1">
      <protection hidden="1"/>
    </xf>
    <xf numFmtId="0" fontId="18" fillId="0" borderId="5" xfId="0" applyFont="1" applyBorder="1" applyAlignment="1" applyProtection="1">
      <alignment horizontal="center"/>
      <protection hidden="1"/>
    </xf>
    <xf numFmtId="164" fontId="18" fillId="0" borderId="28" xfId="0" applyNumberFormat="1" applyFont="1" applyBorder="1" applyAlignment="1" applyProtection="1">
      <alignment horizontal="center"/>
      <protection hidden="1"/>
    </xf>
    <xf numFmtId="0" fontId="18" fillId="0" borderId="63" xfId="0" applyFont="1" applyBorder="1" applyProtection="1">
      <protection hidden="1"/>
    </xf>
    <xf numFmtId="0" fontId="26" fillId="0" borderId="42" xfId="0" applyFont="1" applyBorder="1" applyProtection="1">
      <protection hidden="1"/>
    </xf>
    <xf numFmtId="0" fontId="26" fillId="0" borderId="42" xfId="0" applyFont="1" applyBorder="1" applyAlignment="1" applyProtection="1">
      <alignment horizontal="right"/>
      <protection hidden="1"/>
    </xf>
    <xf numFmtId="0" fontId="26" fillId="0" borderId="42" xfId="0" applyFont="1" applyBorder="1" applyAlignment="1" applyProtection="1">
      <alignment horizontal="center"/>
      <protection hidden="1"/>
    </xf>
    <xf numFmtId="0" fontId="26" fillId="0" borderId="64" xfId="0" applyFont="1" applyBorder="1" applyAlignment="1" applyProtection="1">
      <alignment horizontal="center"/>
      <protection hidden="1"/>
    </xf>
    <xf numFmtId="2" fontId="26" fillId="0" borderId="0" xfId="0" applyNumberFormat="1" applyFont="1" applyAlignment="1" applyProtection="1">
      <alignment horizontal="center"/>
      <protection hidden="1"/>
    </xf>
    <xf numFmtId="164" fontId="27" fillId="0" borderId="30" xfId="0" applyNumberFormat="1" applyFont="1" applyBorder="1" applyAlignment="1" applyProtection="1">
      <alignment horizontal="center"/>
      <protection hidden="1"/>
    </xf>
    <xf numFmtId="0" fontId="12" fillId="0" borderId="1" xfId="0" applyFont="1" applyBorder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167" fontId="4" fillId="0" borderId="0" xfId="0" applyNumberFormat="1" applyFont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164" fontId="4" fillId="0" borderId="30" xfId="0" applyNumberFormat="1" applyFont="1" applyBorder="1" applyAlignment="1" applyProtection="1">
      <alignment horizontal="center"/>
      <protection hidden="1"/>
    </xf>
    <xf numFmtId="0" fontId="21" fillId="0" borderId="63" xfId="0" applyFont="1" applyBorder="1" applyProtection="1">
      <protection hidden="1"/>
    </xf>
    <xf numFmtId="0" fontId="27" fillId="0" borderId="42" xfId="0" applyFont="1" applyBorder="1" applyProtection="1">
      <protection hidden="1"/>
    </xf>
    <xf numFmtId="0" fontId="4" fillId="0" borderId="42" xfId="0" applyFont="1" applyBorder="1" applyProtection="1">
      <protection hidden="1"/>
    </xf>
    <xf numFmtId="0" fontId="4" fillId="0" borderId="42" xfId="0" applyFont="1" applyBorder="1" applyAlignment="1" applyProtection="1">
      <alignment horizontal="center"/>
      <protection hidden="1"/>
    </xf>
    <xf numFmtId="0" fontId="4" fillId="0" borderId="64" xfId="0" applyFont="1" applyBorder="1" applyAlignment="1" applyProtection="1">
      <alignment horizontal="center"/>
      <protection hidden="1"/>
    </xf>
    <xf numFmtId="2" fontId="18" fillId="0" borderId="42" xfId="0" applyNumberFormat="1" applyFont="1" applyBorder="1" applyAlignment="1" applyProtection="1">
      <alignment horizontal="right"/>
      <protection hidden="1"/>
    </xf>
    <xf numFmtId="164" fontId="4" fillId="0" borderId="65" xfId="0" applyNumberFormat="1" applyFont="1" applyBorder="1" applyAlignment="1" applyProtection="1">
      <alignment horizontal="center"/>
      <protection hidden="1"/>
    </xf>
    <xf numFmtId="0" fontId="4" fillId="0" borderId="5" xfId="0" applyFont="1" applyBorder="1" applyProtection="1">
      <protection hidden="1"/>
    </xf>
    <xf numFmtId="0" fontId="26" fillId="0" borderId="63" xfId="0" applyFont="1" applyBorder="1" applyProtection="1">
      <protection hidden="1"/>
    </xf>
    <xf numFmtId="0" fontId="18" fillId="0" borderId="42" xfId="0" applyFont="1" applyBorder="1" applyAlignment="1" applyProtection="1">
      <alignment horizontal="center"/>
      <protection hidden="1"/>
    </xf>
    <xf numFmtId="0" fontId="26" fillId="0" borderId="1" xfId="0" applyFont="1" applyBorder="1" applyProtection="1">
      <protection hidden="1"/>
    </xf>
    <xf numFmtId="0" fontId="27" fillId="0" borderId="0" xfId="0" applyFont="1" applyProtection="1"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" fontId="4" fillId="0" borderId="0" xfId="0" applyNumberFormat="1" applyFont="1" applyProtection="1">
      <protection hidden="1"/>
    </xf>
    <xf numFmtId="0" fontId="16" fillId="0" borderId="42" xfId="0" applyFont="1" applyBorder="1" applyAlignment="1" applyProtection="1">
      <alignment horizontal="center"/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4" fontId="16" fillId="0" borderId="0" xfId="0" applyNumberFormat="1" applyFont="1" applyAlignment="1" applyProtection="1">
      <alignment horizontal="right"/>
      <protection hidden="1"/>
    </xf>
    <xf numFmtId="0" fontId="19" fillId="0" borderId="5" xfId="0" applyFont="1" applyBorder="1" applyAlignment="1" applyProtection="1">
      <alignment horizontal="center"/>
      <protection hidden="1"/>
    </xf>
    <xf numFmtId="164" fontId="16" fillId="0" borderId="5" xfId="0" applyNumberFormat="1" applyFont="1" applyBorder="1" applyAlignment="1" applyProtection="1">
      <alignment horizontal="right"/>
      <protection hidden="1"/>
    </xf>
    <xf numFmtId="2" fontId="18" fillId="0" borderId="15" xfId="0" applyNumberFormat="1" applyFont="1" applyBorder="1" applyAlignment="1" applyProtection="1">
      <alignment horizontal="right"/>
      <protection hidden="1"/>
    </xf>
    <xf numFmtId="172" fontId="0" fillId="0" borderId="66" xfId="0" applyNumberFormat="1" applyBorder="1" applyAlignment="1" applyProtection="1">
      <alignment horizontal="center"/>
      <protection hidden="1"/>
    </xf>
    <xf numFmtId="172" fontId="0" fillId="0" borderId="5" xfId="0" applyNumberFormat="1" applyBorder="1" applyAlignment="1" applyProtection="1">
      <alignment horizontal="center"/>
      <protection hidden="1"/>
    </xf>
    <xf numFmtId="0" fontId="0" fillId="0" borderId="66" xfId="0" applyBorder="1" applyAlignment="1" applyProtection="1">
      <alignment horizontal="center"/>
      <protection hidden="1"/>
    </xf>
    <xf numFmtId="0" fontId="0" fillId="0" borderId="48" xfId="0" applyBorder="1"/>
    <xf numFmtId="4" fontId="16" fillId="0" borderId="0" xfId="0" applyNumberFormat="1" applyFont="1" applyAlignment="1" applyProtection="1">
      <alignment horizontal="center"/>
      <protection hidden="1"/>
    </xf>
    <xf numFmtId="167" fontId="18" fillId="0" borderId="0" xfId="0" applyNumberFormat="1" applyFont="1" applyAlignment="1" applyProtection="1">
      <alignment horizontal="center"/>
      <protection hidden="1"/>
    </xf>
    <xf numFmtId="180" fontId="18" fillId="0" borderId="0" xfId="0" applyNumberFormat="1" applyFont="1" applyProtection="1">
      <protection hidden="1"/>
    </xf>
    <xf numFmtId="4" fontId="4" fillId="0" borderId="48" xfId="0" applyNumberFormat="1" applyFont="1" applyBorder="1" applyAlignment="1" applyProtection="1">
      <alignment horizontal="center"/>
      <protection hidden="1"/>
    </xf>
    <xf numFmtId="0" fontId="18" fillId="0" borderId="42" xfId="0" applyFont="1" applyBorder="1" applyProtection="1">
      <protection hidden="1"/>
    </xf>
    <xf numFmtId="0" fontId="18" fillId="0" borderId="64" xfId="0" applyFont="1" applyBorder="1" applyAlignment="1" applyProtection="1">
      <alignment horizontal="center"/>
      <protection hidden="1"/>
    </xf>
    <xf numFmtId="0" fontId="18" fillId="0" borderId="4" xfId="0" applyFont="1" applyBorder="1" applyProtection="1">
      <protection hidden="1"/>
    </xf>
    <xf numFmtId="0" fontId="27" fillId="0" borderId="5" xfId="0" applyFont="1" applyBorder="1" applyProtection="1">
      <protection hidden="1"/>
    </xf>
    <xf numFmtId="0" fontId="27" fillId="0" borderId="45" xfId="0" applyFont="1" applyBorder="1" applyProtection="1">
      <protection hidden="1"/>
    </xf>
    <xf numFmtId="164" fontId="28" fillId="0" borderId="67" xfId="0" applyNumberFormat="1" applyFont="1" applyBorder="1" applyAlignment="1" applyProtection="1">
      <alignment horizontal="center"/>
      <protection hidden="1"/>
    </xf>
    <xf numFmtId="164" fontId="28" fillId="0" borderId="68" xfId="0" applyNumberFormat="1" applyFont="1" applyBorder="1" applyAlignment="1" applyProtection="1">
      <alignment horizontal="center"/>
      <protection hidden="1"/>
    </xf>
    <xf numFmtId="164" fontId="26" fillId="0" borderId="69" xfId="0" applyNumberFormat="1" applyFont="1" applyBorder="1" applyAlignment="1" applyProtection="1">
      <alignment horizontal="center"/>
      <protection hidden="1"/>
    </xf>
    <xf numFmtId="0" fontId="26" fillId="0" borderId="25" xfId="0" applyFont="1" applyBorder="1" applyAlignment="1" applyProtection="1">
      <alignment horizontal="center"/>
      <protection hidden="1"/>
    </xf>
    <xf numFmtId="2" fontId="26" fillId="0" borderId="25" xfId="0" applyNumberFormat="1" applyFont="1" applyBorder="1" applyAlignment="1" applyProtection="1">
      <alignment horizontal="right"/>
      <protection hidden="1"/>
    </xf>
    <xf numFmtId="164" fontId="26" fillId="0" borderId="70" xfId="0" applyNumberFormat="1" applyFont="1" applyBorder="1" applyAlignment="1" applyProtection="1">
      <alignment horizontal="center"/>
      <protection hidden="1"/>
    </xf>
    <xf numFmtId="164" fontId="26" fillId="0" borderId="71" xfId="0" applyNumberFormat="1" applyFont="1" applyBorder="1" applyAlignment="1" applyProtection="1">
      <alignment horizontal="center"/>
      <protection hidden="1"/>
    </xf>
    <xf numFmtId="164" fontId="26" fillId="0" borderId="72" xfId="0" applyNumberFormat="1" applyFont="1" applyBorder="1" applyAlignment="1" applyProtection="1">
      <alignment horizontal="center"/>
      <protection hidden="1"/>
    </xf>
    <xf numFmtId="0" fontId="26" fillId="0" borderId="4" xfId="0" applyFont="1" applyBorder="1" applyProtection="1"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right"/>
      <protection hidden="1"/>
    </xf>
    <xf numFmtId="0" fontId="3" fillId="0" borderId="0" xfId="0" applyFont="1" applyProtection="1">
      <protection hidden="1"/>
    </xf>
    <xf numFmtId="0" fontId="27" fillId="0" borderId="5" xfId="0" applyFont="1" applyBorder="1" applyAlignment="1" applyProtection="1">
      <alignment horizontal="right"/>
      <protection hidden="1"/>
    </xf>
    <xf numFmtId="0" fontId="26" fillId="0" borderId="0" xfId="0" applyFont="1" applyAlignment="1" applyProtection="1">
      <alignment horizontal="right"/>
      <protection hidden="1"/>
    </xf>
    <xf numFmtId="4" fontId="27" fillId="0" borderId="28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right"/>
      <protection hidden="1"/>
    </xf>
    <xf numFmtId="4" fontId="0" fillId="0" borderId="31" xfId="0" applyNumberFormat="1" applyBorder="1" applyAlignment="1" applyProtection="1">
      <alignment horizontal="center"/>
      <protection hidden="1"/>
    </xf>
    <xf numFmtId="4" fontId="4" fillId="0" borderId="31" xfId="0" applyNumberFormat="1" applyFont="1" applyBorder="1" applyAlignment="1" applyProtection="1">
      <alignment horizontal="center"/>
      <protection hidden="1"/>
    </xf>
    <xf numFmtId="0" fontId="3" fillId="0" borderId="73" xfId="0" applyFont="1" applyBorder="1" applyAlignment="1" applyProtection="1">
      <alignment horizontal="right"/>
      <protection hidden="1"/>
    </xf>
    <xf numFmtId="9" fontId="3" fillId="0" borderId="73" xfId="0" applyNumberFormat="1" applyFont="1" applyBorder="1" applyAlignment="1" applyProtection="1">
      <alignment horizontal="right"/>
      <protection hidden="1"/>
    </xf>
    <xf numFmtId="0" fontId="3" fillId="0" borderId="73" xfId="0" applyFont="1" applyBorder="1" applyProtection="1">
      <protection hidden="1"/>
    </xf>
    <xf numFmtId="4" fontId="3" fillId="0" borderId="55" xfId="0" applyNumberFormat="1" applyFont="1" applyBorder="1" applyAlignment="1" applyProtection="1">
      <alignment horizontal="center"/>
      <protection hidden="1"/>
    </xf>
    <xf numFmtId="4" fontId="3" fillId="0" borderId="56" xfId="0" applyNumberFormat="1" applyFont="1" applyBorder="1" applyAlignment="1" applyProtection="1">
      <alignment horizontal="center"/>
      <protection hidden="1"/>
    </xf>
    <xf numFmtId="4" fontId="27" fillId="0" borderId="57" xfId="0" applyNumberFormat="1" applyFont="1" applyBorder="1" applyAlignment="1" applyProtection="1">
      <alignment horizontal="center"/>
      <protection hidden="1"/>
    </xf>
    <xf numFmtId="4" fontId="27" fillId="0" borderId="4" xfId="0" applyNumberFormat="1" applyFont="1" applyBorder="1" applyAlignment="1" applyProtection="1">
      <alignment horizontal="center"/>
      <protection hidden="1"/>
    </xf>
    <xf numFmtId="4" fontId="27" fillId="0" borderId="48" xfId="0" applyNumberFormat="1" applyFont="1" applyBorder="1" applyAlignment="1" applyProtection="1">
      <alignment horizontal="center"/>
      <protection hidden="1"/>
    </xf>
    <xf numFmtId="4" fontId="27" fillId="0" borderId="15" xfId="0" applyNumberFormat="1" applyFont="1" applyBorder="1" applyAlignment="1" applyProtection="1">
      <alignment horizontal="center"/>
      <protection hidden="1"/>
    </xf>
    <xf numFmtId="4" fontId="4" fillId="0" borderId="4" xfId="0" applyNumberFormat="1" applyFont="1" applyBorder="1" applyAlignment="1" applyProtection="1">
      <alignment horizontal="center"/>
      <protection hidden="1"/>
    </xf>
    <xf numFmtId="0" fontId="27" fillId="0" borderId="73" xfId="0" applyFont="1" applyBorder="1" applyAlignment="1" applyProtection="1">
      <alignment horizontal="right"/>
      <protection hidden="1"/>
    </xf>
    <xf numFmtId="2" fontId="26" fillId="0" borderId="73" xfId="0" applyNumberFormat="1" applyFont="1" applyBorder="1" applyAlignment="1" applyProtection="1">
      <alignment horizontal="right"/>
      <protection hidden="1"/>
    </xf>
    <xf numFmtId="4" fontId="27" fillId="0" borderId="55" xfId="0" applyNumberFormat="1" applyFont="1" applyBorder="1" applyAlignment="1" applyProtection="1">
      <alignment horizontal="center"/>
      <protection hidden="1"/>
    </xf>
    <xf numFmtId="4" fontId="27" fillId="0" borderId="56" xfId="0" applyNumberFormat="1" applyFont="1" applyBorder="1" applyAlignment="1" applyProtection="1">
      <alignment horizontal="center"/>
      <protection hidden="1"/>
    </xf>
    <xf numFmtId="2" fontId="18" fillId="0" borderId="25" xfId="0" applyNumberFormat="1" applyFont="1" applyBorder="1" applyAlignment="1" applyProtection="1">
      <alignment horizontal="right"/>
      <protection hidden="1"/>
    </xf>
    <xf numFmtId="10" fontId="18" fillId="0" borderId="0" xfId="0" applyNumberFormat="1" applyFont="1" applyProtection="1">
      <protection hidden="1"/>
    </xf>
    <xf numFmtId="0" fontId="12" fillId="0" borderId="0" xfId="0" applyFont="1" applyAlignment="1">
      <alignment horizontal="center"/>
    </xf>
    <xf numFmtId="179" fontId="1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1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167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0" fontId="12" fillId="0" borderId="4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4" xfId="0" applyFont="1" applyBorder="1"/>
    <xf numFmtId="0" fontId="0" fillId="0" borderId="52" xfId="0" applyBorder="1"/>
    <xf numFmtId="0" fontId="0" fillId="0" borderId="0" xfId="0" applyAlignment="1">
      <alignment horizontal="center"/>
    </xf>
    <xf numFmtId="1" fontId="12" fillId="0" borderId="42" xfId="0" applyNumberFormat="1" applyFont="1" applyBorder="1" applyAlignment="1">
      <alignment horizontal="center"/>
    </xf>
    <xf numFmtId="168" fontId="12" fillId="0" borderId="42" xfId="0" applyNumberFormat="1" applyFont="1" applyBorder="1" applyAlignment="1">
      <alignment horizontal="center"/>
    </xf>
    <xf numFmtId="10" fontId="12" fillId="0" borderId="42" xfId="0" applyNumberFormat="1" applyFont="1" applyBorder="1" applyAlignment="1">
      <alignment horizontal="center"/>
    </xf>
    <xf numFmtId="10" fontId="12" fillId="0" borderId="0" xfId="0" applyNumberFormat="1" applyFont="1" applyAlignment="1">
      <alignment horizontal="left"/>
    </xf>
    <xf numFmtId="0" fontId="12" fillId="0" borderId="0" xfId="0" applyFont="1" applyAlignment="1">
      <alignment horizontal="right"/>
    </xf>
    <xf numFmtId="0" fontId="12" fillId="0" borderId="42" xfId="0" applyFont="1" applyBorder="1" applyAlignment="1">
      <alignment horizontal="right"/>
    </xf>
    <xf numFmtId="2" fontId="4" fillId="0" borderId="0" xfId="0" applyNumberFormat="1" applyFont="1"/>
    <xf numFmtId="1" fontId="16" fillId="0" borderId="0" xfId="0" applyNumberFormat="1" applyFont="1"/>
    <xf numFmtId="1" fontId="4" fillId="0" borderId="0" xfId="0" applyNumberFormat="1" applyFont="1"/>
    <xf numFmtId="167" fontId="30" fillId="0" borderId="0" xfId="0" applyNumberFormat="1" applyFont="1" applyAlignment="1">
      <alignment horizontal="center" vertical="center"/>
    </xf>
    <xf numFmtId="0" fontId="19" fillId="0" borderId="30" xfId="0" applyFont="1" applyBorder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167" fontId="4" fillId="0" borderId="0" xfId="0" applyNumberFormat="1" applyFont="1"/>
    <xf numFmtId="1" fontId="16" fillId="0" borderId="0" xfId="0" applyNumberFormat="1" applyFont="1" applyProtection="1">
      <protection hidden="1"/>
    </xf>
    <xf numFmtId="1" fontId="16" fillId="0" borderId="0" xfId="0" applyNumberFormat="1" applyFont="1" applyAlignment="1" applyProtection="1">
      <alignment horizontal="right"/>
      <protection hidden="1"/>
    </xf>
    <xf numFmtId="1" fontId="16" fillId="0" borderId="0" xfId="0" applyNumberFormat="1" applyFont="1" applyAlignment="1" applyProtection="1">
      <alignment horizontal="center"/>
      <protection hidden="1"/>
    </xf>
    <xf numFmtId="2" fontId="16" fillId="0" borderId="0" xfId="0" applyNumberFormat="1" applyFont="1" applyAlignment="1" applyProtection="1">
      <alignment horizontal="center"/>
      <protection hidden="1"/>
    </xf>
    <xf numFmtId="165" fontId="0" fillId="2" borderId="74" xfId="0" applyNumberFormat="1" applyFill="1" applyBorder="1" applyProtection="1">
      <protection hidden="1"/>
    </xf>
    <xf numFmtId="165" fontId="0" fillId="2" borderId="74" xfId="0" applyNumberFormat="1" applyFill="1" applyBorder="1" applyAlignment="1" applyProtection="1">
      <alignment horizontal="left"/>
      <protection hidden="1"/>
    </xf>
    <xf numFmtId="165" fontId="3" fillId="2" borderId="75" xfId="0" applyNumberFormat="1" applyFont="1" applyFill="1" applyBorder="1" applyAlignment="1" applyProtection="1">
      <alignment horizontal="center" vertical="center"/>
      <protection hidden="1"/>
    </xf>
    <xf numFmtId="165" fontId="3" fillId="9" borderId="75" xfId="0" applyNumberFormat="1" applyFont="1" applyFill="1" applyBorder="1" applyAlignment="1" applyProtection="1">
      <alignment horizontal="center" vertical="center"/>
      <protection hidden="1"/>
    </xf>
    <xf numFmtId="165" fontId="0" fillId="10" borderId="75" xfId="0" applyNumberFormat="1" applyFill="1" applyBorder="1" applyAlignment="1" applyProtection="1">
      <alignment vertical="center"/>
      <protection hidden="1"/>
    </xf>
    <xf numFmtId="165" fontId="0" fillId="4" borderId="76" xfId="0" applyNumberFormat="1" applyFill="1" applyBorder="1" applyAlignment="1" applyProtection="1">
      <alignment horizontal="center"/>
      <protection locked="0"/>
    </xf>
    <xf numFmtId="3" fontId="0" fillId="4" borderId="77" xfId="0" applyNumberFormat="1" applyFill="1" applyBorder="1" applyAlignment="1" applyProtection="1">
      <alignment horizontal="center"/>
      <protection locked="0"/>
    </xf>
    <xf numFmtId="165" fontId="0" fillId="4" borderId="77" xfId="0" applyNumberFormat="1" applyFill="1" applyBorder="1" applyAlignment="1" applyProtection="1">
      <alignment horizontal="center"/>
      <protection locked="0" hidden="1"/>
    </xf>
    <xf numFmtId="164" fontId="0" fillId="4" borderId="77" xfId="0" applyNumberFormat="1" applyFill="1" applyBorder="1" applyAlignment="1" applyProtection="1">
      <alignment horizontal="center"/>
      <protection locked="0" hidden="1"/>
    </xf>
    <xf numFmtId="3" fontId="0" fillId="4" borderId="77" xfId="0" applyNumberFormat="1" applyFill="1" applyBorder="1" applyAlignment="1" applyProtection="1">
      <alignment horizontal="center"/>
      <protection locked="0" hidden="1"/>
    </xf>
    <xf numFmtId="1" fontId="3" fillId="4" borderId="77" xfId="0" applyNumberFormat="1" applyFont="1" applyFill="1" applyBorder="1" applyAlignment="1" applyProtection="1">
      <alignment horizontal="center"/>
      <protection locked="0" hidden="1"/>
    </xf>
    <xf numFmtId="1" fontId="3" fillId="4" borderId="78" xfId="0" applyNumberFormat="1" applyFont="1" applyFill="1" applyBorder="1" applyAlignment="1" applyProtection="1">
      <alignment horizontal="center"/>
      <protection locked="0" hidden="1"/>
    </xf>
    <xf numFmtId="165" fontId="0" fillId="2" borderId="77" xfId="0" applyNumberFormat="1" applyFill="1" applyBorder="1" applyAlignment="1" applyProtection="1">
      <alignment horizontal="right"/>
      <protection hidden="1"/>
    </xf>
    <xf numFmtId="165" fontId="0" fillId="2" borderId="78" xfId="0" applyNumberFormat="1" applyFill="1" applyBorder="1" applyAlignment="1" applyProtection="1">
      <alignment horizontal="right"/>
      <protection hidden="1"/>
    </xf>
    <xf numFmtId="167" fontId="4" fillId="2" borderId="79" xfId="0" applyNumberFormat="1" applyFont="1" applyFill="1" applyBorder="1" applyProtection="1">
      <protection hidden="1"/>
    </xf>
    <xf numFmtId="0" fontId="0" fillId="2" borderId="80" xfId="0" applyFill="1" applyBorder="1"/>
    <xf numFmtId="165" fontId="0" fillId="2" borderId="80" xfId="0" applyNumberFormat="1" applyFill="1" applyBorder="1" applyAlignment="1" applyProtection="1">
      <alignment horizontal="right"/>
      <protection hidden="1"/>
    </xf>
    <xf numFmtId="165" fontId="0" fillId="2" borderId="80" xfId="0" applyNumberFormat="1" applyFill="1" applyBorder="1" applyAlignment="1" applyProtection="1">
      <alignment horizontal="left"/>
      <protection hidden="1"/>
    </xf>
    <xf numFmtId="165" fontId="0" fillId="2" borderId="81" xfId="0" applyNumberFormat="1" applyFill="1" applyBorder="1" applyAlignment="1" applyProtection="1">
      <alignment horizontal="center"/>
      <protection hidden="1"/>
    </xf>
    <xf numFmtId="167" fontId="4" fillId="2" borderId="82" xfId="0" applyNumberFormat="1" applyFont="1" applyFill="1" applyBorder="1" applyProtection="1">
      <protection hidden="1"/>
    </xf>
    <xf numFmtId="165" fontId="0" fillId="2" borderId="83" xfId="0" applyNumberFormat="1" applyFill="1" applyBorder="1" applyAlignment="1" applyProtection="1">
      <alignment horizontal="center"/>
      <protection hidden="1"/>
    </xf>
    <xf numFmtId="167" fontId="4" fillId="2" borderId="84" xfId="0" applyNumberFormat="1" applyFont="1" applyFill="1" applyBorder="1" applyProtection="1">
      <protection hidden="1"/>
    </xf>
    <xf numFmtId="0" fontId="0" fillId="2" borderId="74" xfId="0" applyFill="1" applyBorder="1"/>
    <xf numFmtId="165" fontId="0" fillId="2" borderId="74" xfId="0" applyNumberFormat="1" applyFill="1" applyBorder="1" applyAlignment="1" applyProtection="1">
      <alignment horizontal="right"/>
      <protection hidden="1"/>
    </xf>
    <xf numFmtId="165" fontId="0" fillId="2" borderId="85" xfId="0" applyNumberFormat="1" applyFill="1" applyBorder="1" applyAlignment="1" applyProtection="1">
      <alignment horizontal="center"/>
      <protection hidden="1"/>
    </xf>
    <xf numFmtId="168" fontId="0" fillId="4" borderId="77" xfId="0" applyNumberFormat="1" applyFill="1" applyBorder="1" applyAlignment="1" applyProtection="1">
      <alignment horizontal="center"/>
      <protection locked="0" hidden="1"/>
    </xf>
    <xf numFmtId="165" fontId="3" fillId="2" borderId="86" xfId="0" applyNumberFormat="1" applyFont="1" applyFill="1" applyBorder="1" applyAlignment="1" applyProtection="1">
      <alignment horizontal="right" vertical="center"/>
      <protection hidden="1"/>
    </xf>
    <xf numFmtId="0" fontId="3" fillId="2" borderId="75" xfId="0" applyFont="1" applyFill="1" applyBorder="1" applyAlignment="1" applyProtection="1">
      <alignment horizontal="center" vertical="center"/>
      <protection hidden="1"/>
    </xf>
    <xf numFmtId="165" fontId="0" fillId="2" borderId="87" xfId="0" applyNumberFormat="1" applyFill="1" applyBorder="1" applyAlignment="1" applyProtection="1">
      <alignment horizontal="left" vertical="center"/>
      <protection hidden="1"/>
    </xf>
    <xf numFmtId="165" fontId="0" fillId="2" borderId="87" xfId="0" applyNumberFormat="1" applyFill="1" applyBorder="1" applyAlignment="1" applyProtection="1">
      <alignment horizontal="center" vertical="center"/>
      <protection hidden="1"/>
    </xf>
    <xf numFmtId="3" fontId="3" fillId="2" borderId="87" xfId="0" applyNumberFormat="1" applyFont="1" applyFill="1" applyBorder="1" applyAlignment="1" applyProtection="1">
      <alignment horizontal="right" vertical="center"/>
      <protection hidden="1"/>
    </xf>
    <xf numFmtId="165" fontId="0" fillId="2" borderId="88" xfId="0" applyNumberFormat="1" applyFill="1" applyBorder="1" applyAlignment="1" applyProtection="1">
      <alignment horizontal="center"/>
      <protection hidden="1"/>
    </xf>
    <xf numFmtId="165" fontId="3" fillId="2" borderId="0" xfId="0" applyNumberFormat="1" applyFont="1" applyFill="1" applyAlignment="1" applyProtection="1">
      <alignment horizontal="right"/>
      <protection hidden="1"/>
    </xf>
    <xf numFmtId="165" fontId="0" fillId="2" borderId="79" xfId="0" applyNumberFormat="1" applyFill="1" applyBorder="1" applyAlignment="1" applyProtection="1">
      <alignment horizontal="center"/>
      <protection hidden="1"/>
    </xf>
    <xf numFmtId="165" fontId="0" fillId="2" borderId="80" xfId="0" applyNumberFormat="1" applyFill="1" applyBorder="1" applyAlignment="1" applyProtection="1">
      <alignment horizontal="center"/>
      <protection hidden="1"/>
    </xf>
    <xf numFmtId="165" fontId="0" fillId="2" borderId="86" xfId="0" applyNumberFormat="1" applyFill="1" applyBorder="1" applyAlignment="1" applyProtection="1">
      <alignment horizontal="left" vertical="center"/>
      <protection hidden="1"/>
    </xf>
    <xf numFmtId="165" fontId="0" fillId="2" borderId="82" xfId="0" applyNumberFormat="1" applyFill="1" applyBorder="1" applyAlignment="1" applyProtection="1">
      <alignment horizontal="left"/>
      <protection hidden="1"/>
    </xf>
    <xf numFmtId="165" fontId="0" fillId="2" borderId="84" xfId="0" applyNumberFormat="1" applyFill="1" applyBorder="1" applyAlignment="1" applyProtection="1">
      <alignment horizontal="left"/>
      <protection hidden="1"/>
    </xf>
    <xf numFmtId="165" fontId="0" fillId="2" borderId="74" xfId="0" applyNumberFormat="1" applyFill="1" applyBorder="1" applyAlignment="1" applyProtection="1">
      <alignment horizontal="center"/>
      <protection hidden="1"/>
    </xf>
    <xf numFmtId="0" fontId="0" fillId="2" borderId="77" xfId="0" applyFill="1" applyBorder="1" applyAlignment="1" applyProtection="1">
      <alignment horizontal="center"/>
      <protection hidden="1"/>
    </xf>
    <xf numFmtId="168" fontId="0" fillId="4" borderId="76" xfId="0" applyNumberFormat="1" applyFill="1" applyBorder="1" applyAlignment="1" applyProtection="1">
      <alignment horizontal="center"/>
      <protection locked="0" hidden="1"/>
    </xf>
    <xf numFmtId="0" fontId="0" fillId="4" borderId="78" xfId="0" applyFill="1" applyBorder="1" applyAlignment="1" applyProtection="1">
      <alignment horizontal="center"/>
      <protection locked="0" hidden="1"/>
    </xf>
    <xf numFmtId="165" fontId="0" fillId="2" borderId="79" xfId="0" applyNumberFormat="1" applyFill="1" applyBorder="1" applyAlignment="1" applyProtection="1">
      <alignment horizontal="right"/>
      <protection hidden="1"/>
    </xf>
    <xf numFmtId="165" fontId="0" fillId="2" borderId="82" xfId="0" applyNumberFormat="1" applyFill="1" applyBorder="1" applyAlignment="1" applyProtection="1">
      <alignment horizontal="right"/>
      <protection hidden="1"/>
    </xf>
    <xf numFmtId="165" fontId="0" fillId="2" borderId="84" xfId="0" applyNumberFormat="1" applyFill="1" applyBorder="1" applyAlignment="1" applyProtection="1">
      <alignment horizontal="right"/>
      <protection hidden="1"/>
    </xf>
    <xf numFmtId="165" fontId="0" fillId="2" borderId="85" xfId="0" applyNumberFormat="1" applyFill="1" applyBorder="1" applyProtection="1">
      <protection hidden="1"/>
    </xf>
    <xf numFmtId="0" fontId="0" fillId="2" borderId="0" xfId="0" applyFill="1" applyAlignment="1" applyProtection="1">
      <alignment horizontal="right"/>
      <protection hidden="1"/>
    </xf>
    <xf numFmtId="165" fontId="0" fillId="2" borderId="78" xfId="0" applyNumberFormat="1" applyFill="1" applyBorder="1" applyAlignment="1" applyProtection="1">
      <alignment vertical="center"/>
      <protection hidden="1"/>
    </xf>
    <xf numFmtId="165" fontId="4" fillId="2" borderId="0" xfId="0" applyNumberFormat="1" applyFont="1" applyFill="1" applyAlignment="1" applyProtection="1">
      <alignment horizontal="center"/>
      <protection hidden="1"/>
    </xf>
    <xf numFmtId="165" fontId="0" fillId="2" borderId="80" xfId="0" applyNumberFormat="1" applyFill="1" applyBorder="1" applyProtection="1">
      <protection hidden="1"/>
    </xf>
    <xf numFmtId="167" fontId="5" fillId="2" borderId="0" xfId="0" applyNumberFormat="1" applyFont="1" applyFill="1" applyAlignment="1" applyProtection="1">
      <alignment horizontal="center"/>
      <protection hidden="1"/>
    </xf>
    <xf numFmtId="168" fontId="5" fillId="2" borderId="83" xfId="0" applyNumberFormat="1" applyFont="1" applyFill="1" applyBorder="1" applyAlignment="1" applyProtection="1">
      <alignment horizontal="center"/>
      <protection hidden="1"/>
    </xf>
    <xf numFmtId="165" fontId="5" fillId="2" borderId="83" xfId="0" applyNumberFormat="1" applyFont="1" applyFill="1" applyBorder="1" applyAlignment="1" applyProtection="1">
      <alignment horizontal="center"/>
      <protection hidden="1"/>
    </xf>
    <xf numFmtId="165" fontId="0" fillId="2" borderId="86" xfId="0" applyNumberFormat="1" applyFill="1" applyBorder="1" applyAlignment="1" applyProtection="1">
      <alignment horizontal="right"/>
      <protection hidden="1"/>
    </xf>
    <xf numFmtId="165" fontId="0" fillId="2" borderId="87" xfId="0" applyNumberFormat="1" applyFill="1" applyBorder="1" applyAlignment="1" applyProtection="1">
      <alignment horizontal="center"/>
      <protection hidden="1"/>
    </xf>
    <xf numFmtId="165" fontId="0" fillId="2" borderId="87" xfId="0" applyNumberFormat="1" applyFill="1" applyBorder="1" applyAlignment="1" applyProtection="1">
      <alignment horizontal="left"/>
      <protection hidden="1"/>
    </xf>
    <xf numFmtId="165" fontId="4" fillId="2" borderId="87" xfId="0" applyNumberFormat="1" applyFont="1" applyFill="1" applyBorder="1" applyAlignment="1" applyProtection="1">
      <alignment horizontal="center"/>
      <protection hidden="1"/>
    </xf>
    <xf numFmtId="38" fontId="4" fillId="2" borderId="87" xfId="0" applyNumberFormat="1" applyFont="1" applyFill="1" applyBorder="1" applyAlignment="1">
      <alignment horizontal="center"/>
    </xf>
    <xf numFmtId="9" fontId="0" fillId="2" borderId="88" xfId="0" applyNumberFormat="1" applyFill="1" applyBorder="1" applyAlignment="1" applyProtection="1">
      <alignment horizontal="center"/>
      <protection hidden="1"/>
    </xf>
    <xf numFmtId="4" fontId="5" fillId="2" borderId="0" xfId="0" applyNumberFormat="1" applyFont="1" applyFill="1" applyAlignment="1" applyProtection="1">
      <alignment horizontal="left"/>
      <protection hidden="1"/>
    </xf>
    <xf numFmtId="4" fontId="4" fillId="2" borderId="0" xfId="0" applyNumberFormat="1" applyFont="1" applyFill="1" applyAlignment="1" applyProtection="1">
      <alignment horizontal="left"/>
      <protection hidden="1"/>
    </xf>
    <xf numFmtId="0" fontId="4" fillId="2" borderId="6" xfId="0" applyFont="1" applyFill="1" applyBorder="1" applyAlignment="1" applyProtection="1">
      <alignment horizontal="left"/>
      <protection hidden="1"/>
    </xf>
    <xf numFmtId="165" fontId="4" fillId="2" borderId="45" xfId="0" applyNumberFormat="1" applyFont="1" applyFill="1" applyBorder="1" applyAlignment="1" applyProtection="1">
      <alignment horizontal="left"/>
      <protection hidden="1"/>
    </xf>
    <xf numFmtId="165" fontId="4" fillId="2" borderId="0" xfId="0" applyNumberFormat="1" applyFont="1" applyFill="1" applyAlignment="1" applyProtection="1">
      <alignment horizontal="left"/>
      <protection hidden="1"/>
    </xf>
    <xf numFmtId="165" fontId="0" fillId="2" borderId="76" xfId="0" applyNumberFormat="1" applyFill="1" applyBorder="1" applyAlignment="1" applyProtection="1">
      <alignment horizontal="center"/>
      <protection hidden="1"/>
    </xf>
    <xf numFmtId="4" fontId="5" fillId="2" borderId="77" xfId="0" applyNumberFormat="1" applyFont="1" applyFill="1" applyBorder="1" applyAlignment="1" applyProtection="1">
      <alignment horizontal="center"/>
      <protection hidden="1"/>
    </xf>
    <xf numFmtId="4" fontId="4" fillId="2" borderId="77" xfId="0" applyNumberFormat="1" applyFont="1" applyFill="1" applyBorder="1" applyAlignment="1" applyProtection="1">
      <alignment horizontal="center"/>
      <protection hidden="1"/>
    </xf>
    <xf numFmtId="165" fontId="4" fillId="2" borderId="77" xfId="0" applyNumberFormat="1" applyFont="1" applyFill="1" applyBorder="1" applyAlignment="1" applyProtection="1">
      <alignment horizontal="center"/>
      <protection hidden="1"/>
    </xf>
    <xf numFmtId="4" fontId="0" fillId="4" borderId="76" xfId="0" applyNumberFormat="1" applyFill="1" applyBorder="1" applyAlignment="1" applyProtection="1">
      <alignment horizontal="center"/>
      <protection locked="0" hidden="1"/>
    </xf>
    <xf numFmtId="1" fontId="0" fillId="4" borderId="77" xfId="0" applyNumberFormat="1" applyFill="1" applyBorder="1" applyAlignment="1" applyProtection="1">
      <alignment horizontal="center"/>
      <protection locked="0" hidden="1"/>
    </xf>
    <xf numFmtId="2" fontId="0" fillId="4" borderId="77" xfId="0" applyNumberFormat="1" applyFill="1" applyBorder="1" applyAlignment="1" applyProtection="1">
      <alignment horizontal="center"/>
      <protection locked="0" hidden="1"/>
    </xf>
    <xf numFmtId="2" fontId="3" fillId="4" borderId="78" xfId="0" applyNumberFormat="1" applyFont="1" applyFill="1" applyBorder="1" applyAlignment="1" applyProtection="1">
      <alignment horizontal="center"/>
      <protection locked="0" hidden="1"/>
    </xf>
    <xf numFmtId="2" fontId="3" fillId="4" borderId="77" xfId="0" applyNumberFormat="1" applyFont="1" applyFill="1" applyBorder="1" applyAlignment="1" applyProtection="1">
      <alignment horizontal="center"/>
      <protection locked="0" hidden="1"/>
    </xf>
    <xf numFmtId="165" fontId="0" fillId="2" borderId="77" xfId="0" applyNumberFormat="1" applyFill="1" applyBorder="1" applyProtection="1">
      <protection hidden="1"/>
    </xf>
    <xf numFmtId="165" fontId="0" fillId="2" borderId="75" xfId="0" applyNumberFormat="1" applyFill="1" applyBorder="1" applyAlignment="1" applyProtection="1">
      <alignment horizontal="center"/>
      <protection hidden="1"/>
    </xf>
    <xf numFmtId="165" fontId="3" fillId="9" borderId="86" xfId="0" applyNumberFormat="1" applyFont="1" applyFill="1" applyBorder="1" applyAlignment="1" applyProtection="1">
      <alignment horizontal="center"/>
      <protection hidden="1"/>
    </xf>
    <xf numFmtId="165" fontId="3" fillId="9" borderId="87" xfId="0" applyNumberFormat="1" applyFont="1" applyFill="1" applyBorder="1" applyAlignment="1" applyProtection="1">
      <alignment horizontal="center"/>
      <protection hidden="1"/>
    </xf>
    <xf numFmtId="165" fontId="3" fillId="9" borderId="86" xfId="0" applyNumberFormat="1" applyFont="1" applyFill="1" applyBorder="1" applyAlignment="1" applyProtection="1">
      <alignment horizontal="center" vertical="center"/>
      <protection hidden="1"/>
    </xf>
    <xf numFmtId="165" fontId="0" fillId="2" borderId="87" xfId="0" applyNumberFormat="1" applyFill="1" applyBorder="1" applyProtection="1">
      <protection hidden="1"/>
    </xf>
    <xf numFmtId="165" fontId="5" fillId="2" borderId="87" xfId="0" applyNumberFormat="1" applyFont="1" applyFill="1" applyBorder="1" applyAlignment="1" applyProtection="1">
      <alignment horizontal="center"/>
      <protection hidden="1"/>
    </xf>
    <xf numFmtId="165" fontId="5" fillId="2" borderId="87" xfId="0" applyNumberFormat="1" applyFont="1" applyFill="1" applyBorder="1" applyAlignment="1" applyProtection="1">
      <alignment horizontal="center" wrapText="1"/>
      <protection hidden="1"/>
    </xf>
    <xf numFmtId="165" fontId="5" fillId="2" borderId="88" xfId="0" applyNumberFormat="1" applyFont="1" applyFill="1" applyBorder="1" applyAlignment="1" applyProtection="1">
      <alignment horizontal="center" vertical="center"/>
      <protection hidden="1"/>
    </xf>
    <xf numFmtId="169" fontId="0" fillId="2" borderId="75" xfId="0" applyNumberFormat="1" applyFill="1" applyBorder="1" applyAlignment="1" applyProtection="1">
      <alignment horizontal="center"/>
      <protection hidden="1"/>
    </xf>
    <xf numFmtId="3" fontId="3" fillId="4" borderId="77" xfId="0" applyNumberFormat="1" applyFont="1" applyFill="1" applyBorder="1" applyAlignment="1" applyProtection="1">
      <alignment horizontal="center"/>
      <protection locked="0" hidden="1"/>
    </xf>
    <xf numFmtId="9" fontId="3" fillId="4" borderId="77" xfId="0" applyNumberFormat="1" applyFont="1" applyFill="1" applyBorder="1" applyAlignment="1" applyProtection="1">
      <alignment horizontal="center"/>
      <protection locked="0" hidden="1"/>
    </xf>
    <xf numFmtId="165" fontId="0" fillId="2" borderId="78" xfId="0" applyNumberFormat="1" applyFill="1" applyBorder="1" applyAlignment="1" applyProtection="1">
      <alignment horizontal="center"/>
      <protection hidden="1"/>
    </xf>
    <xf numFmtId="165" fontId="0" fillId="2" borderId="77" xfId="0" applyNumberFormat="1" applyFill="1" applyBorder="1" applyAlignment="1" applyProtection="1">
      <alignment horizontal="center"/>
      <protection hidden="1"/>
    </xf>
    <xf numFmtId="165" fontId="4" fillId="2" borderId="83" xfId="0" applyNumberFormat="1" applyFont="1" applyFill="1" applyBorder="1" applyAlignment="1" applyProtection="1">
      <alignment horizontal="center"/>
      <protection hidden="1"/>
    </xf>
    <xf numFmtId="165" fontId="0" fillId="2" borderId="83" xfId="0" applyNumberFormat="1" applyFill="1" applyBorder="1" applyProtection="1">
      <protection hidden="1"/>
    </xf>
    <xf numFmtId="167" fontId="4" fillId="2" borderId="0" xfId="0" applyNumberFormat="1" applyFont="1" applyFill="1" applyAlignment="1" applyProtection="1">
      <alignment horizontal="left"/>
      <protection hidden="1"/>
    </xf>
    <xf numFmtId="38" fontId="0" fillId="2" borderId="0" xfId="0" applyNumberFormat="1" applyFill="1" applyAlignment="1" applyProtection="1">
      <alignment horizontal="center"/>
      <protection hidden="1"/>
    </xf>
    <xf numFmtId="3" fontId="0" fillId="4" borderId="76" xfId="0" applyNumberFormat="1" applyFill="1" applyBorder="1" applyAlignment="1" applyProtection="1">
      <alignment horizontal="center"/>
      <protection locked="0" hidden="1"/>
    </xf>
    <xf numFmtId="1" fontId="0" fillId="4" borderId="76" xfId="0" applyNumberFormat="1" applyFill="1" applyBorder="1" applyAlignment="1" applyProtection="1">
      <alignment horizontal="center"/>
      <protection locked="0" hidden="1"/>
    </xf>
    <xf numFmtId="167" fontId="0" fillId="4" borderId="77" xfId="0" applyNumberFormat="1" applyFill="1" applyBorder="1" applyAlignment="1" applyProtection="1">
      <alignment horizontal="center"/>
      <protection locked="0" hidden="1"/>
    </xf>
    <xf numFmtId="168" fontId="0" fillId="2" borderId="77" xfId="0" applyNumberFormat="1" applyFill="1" applyBorder="1" applyAlignment="1" applyProtection="1">
      <alignment horizontal="center"/>
      <protection locked="0" hidden="1"/>
    </xf>
    <xf numFmtId="164" fontId="0" fillId="2" borderId="77" xfId="0" applyNumberFormat="1" applyFill="1" applyBorder="1" applyAlignment="1" applyProtection="1">
      <alignment horizontal="center"/>
      <protection locked="0" hidden="1"/>
    </xf>
    <xf numFmtId="3" fontId="0" fillId="2" borderId="77" xfId="0" applyNumberFormat="1" applyFill="1" applyBorder="1" applyAlignment="1" applyProtection="1">
      <alignment horizontal="center"/>
      <protection locked="0" hidden="1"/>
    </xf>
    <xf numFmtId="0" fontId="0" fillId="2" borderId="77" xfId="0" applyFill="1" applyBorder="1" applyAlignment="1" applyProtection="1">
      <alignment horizontal="center"/>
      <protection locked="0" hidden="1"/>
    </xf>
    <xf numFmtId="1" fontId="3" fillId="2" borderId="77" xfId="0" applyNumberFormat="1" applyFont="1" applyFill="1" applyBorder="1" applyAlignment="1" applyProtection="1">
      <alignment horizontal="center"/>
      <protection locked="0" hidden="1"/>
    </xf>
    <xf numFmtId="165" fontId="0" fillId="2" borderId="81" xfId="0" applyNumberFormat="1" applyFill="1" applyBorder="1" applyProtection="1">
      <protection hidden="1"/>
    </xf>
    <xf numFmtId="165" fontId="3" fillId="2" borderId="84" xfId="0" applyNumberFormat="1" applyFont="1" applyFill="1" applyBorder="1" applyAlignment="1" applyProtection="1">
      <alignment horizontal="right"/>
      <protection hidden="1"/>
    </xf>
    <xf numFmtId="1" fontId="0" fillId="2" borderId="85" xfId="0" applyNumberFormat="1" applyFill="1" applyBorder="1" applyAlignment="1" applyProtection="1">
      <alignment horizontal="center"/>
      <protection hidden="1"/>
    </xf>
    <xf numFmtId="169" fontId="0" fillId="4" borderId="76" xfId="0" applyNumberFormat="1" applyFill="1" applyBorder="1" applyAlignment="1" applyProtection="1">
      <alignment horizontal="center"/>
      <protection locked="0" hidden="1"/>
    </xf>
    <xf numFmtId="169" fontId="0" fillId="4" borderId="77" xfId="0" applyNumberFormat="1" applyFill="1" applyBorder="1" applyAlignment="1" applyProtection="1">
      <alignment horizontal="center"/>
      <protection locked="0" hidden="1"/>
    </xf>
    <xf numFmtId="3" fontId="0" fillId="4" borderId="78" xfId="0" applyNumberFormat="1" applyFill="1" applyBorder="1" applyAlignment="1" applyProtection="1">
      <alignment horizontal="center"/>
      <protection locked="0" hidden="1"/>
    </xf>
    <xf numFmtId="165" fontId="0" fillId="2" borderId="82" xfId="0" applyNumberFormat="1" applyFill="1" applyBorder="1" applyAlignment="1" applyProtection="1">
      <alignment horizontal="center"/>
      <protection hidden="1"/>
    </xf>
    <xf numFmtId="165" fontId="0" fillId="2" borderId="84" xfId="0" applyNumberFormat="1" applyFill="1" applyBorder="1" applyAlignment="1" applyProtection="1">
      <alignment horizontal="center"/>
      <protection hidden="1"/>
    </xf>
    <xf numFmtId="165" fontId="0" fillId="2" borderId="77" xfId="0" applyNumberFormat="1" applyFill="1" applyBorder="1" applyAlignment="1" applyProtection="1">
      <alignment horizontal="center" vertical="center"/>
      <protection hidden="1"/>
    </xf>
    <xf numFmtId="4" fontId="0" fillId="2" borderId="82" xfId="0" applyNumberFormat="1" applyFill="1" applyBorder="1" applyAlignment="1" applyProtection="1">
      <alignment horizontal="center"/>
      <protection hidden="1"/>
    </xf>
    <xf numFmtId="10" fontId="0" fillId="4" borderId="77" xfId="0" applyNumberFormat="1" applyFill="1" applyBorder="1" applyAlignment="1" applyProtection="1">
      <alignment horizontal="center"/>
      <protection locked="0" hidden="1"/>
    </xf>
    <xf numFmtId="164" fontId="0" fillId="4" borderId="78" xfId="0" applyNumberFormat="1" applyFill="1" applyBorder="1" applyAlignment="1" applyProtection="1">
      <alignment horizontal="center"/>
      <protection locked="0" hidden="1"/>
    </xf>
    <xf numFmtId="165" fontId="0" fillId="2" borderId="79" xfId="0" applyNumberFormat="1" applyFill="1" applyBorder="1" applyProtection="1">
      <protection hidden="1"/>
    </xf>
    <xf numFmtId="169" fontId="0" fillId="2" borderId="80" xfId="0" applyNumberFormat="1" applyFill="1" applyBorder="1" applyAlignment="1" applyProtection="1">
      <alignment horizontal="right"/>
      <protection hidden="1"/>
    </xf>
    <xf numFmtId="0" fontId="0" fillId="4" borderId="82" xfId="0" applyFill="1" applyBorder="1" applyProtection="1">
      <protection locked="0" hidden="1"/>
    </xf>
    <xf numFmtId="0" fontId="0" fillId="2" borderId="0" xfId="0" applyFill="1" applyAlignment="1" applyProtection="1">
      <alignment horizontal="center"/>
      <protection hidden="1"/>
    </xf>
    <xf numFmtId="170" fontId="0" fillId="4" borderId="0" xfId="0" applyNumberFormat="1" applyFill="1" applyAlignment="1" applyProtection="1">
      <alignment horizontal="center"/>
      <protection locked="0" hidden="1"/>
    </xf>
    <xf numFmtId="165" fontId="0" fillId="2" borderId="82" xfId="0" applyNumberFormat="1" applyFill="1" applyBorder="1" applyProtection="1">
      <protection hidden="1"/>
    </xf>
    <xf numFmtId="0" fontId="0" fillId="4" borderId="0" xfId="0" applyFill="1" applyAlignment="1" applyProtection="1">
      <alignment horizontal="center"/>
      <protection locked="0" hidden="1"/>
    </xf>
    <xf numFmtId="165" fontId="0" fillId="2" borderId="83" xfId="0" applyNumberFormat="1" applyFill="1" applyBorder="1" applyAlignment="1" applyProtection="1">
      <alignment horizontal="center" wrapText="1"/>
      <protection hidden="1"/>
    </xf>
    <xf numFmtId="165" fontId="0" fillId="4" borderId="83" xfId="0" applyNumberFormat="1" applyFill="1" applyBorder="1" applyAlignment="1" applyProtection="1">
      <alignment horizontal="center"/>
      <protection locked="0" hidden="1"/>
    </xf>
    <xf numFmtId="167" fontId="0" fillId="4" borderId="0" xfId="0" applyNumberFormat="1" applyFill="1" applyAlignment="1" applyProtection="1">
      <alignment horizontal="center"/>
      <protection hidden="1"/>
    </xf>
    <xf numFmtId="0" fontId="0" fillId="4" borderId="84" xfId="0" applyFill="1" applyBorder="1" applyProtection="1">
      <protection locked="0" hidden="1"/>
    </xf>
    <xf numFmtId="165" fontId="0" fillId="4" borderId="74" xfId="0" applyNumberFormat="1" applyFill="1" applyBorder="1" applyAlignment="1" applyProtection="1">
      <alignment horizontal="center"/>
      <protection locked="0" hidden="1"/>
    </xf>
    <xf numFmtId="167" fontId="0" fillId="2" borderId="74" xfId="0" applyNumberFormat="1" applyFill="1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172" fontId="0" fillId="2" borderId="0" xfId="0" applyNumberFormat="1" applyFill="1" applyAlignment="1" applyProtection="1">
      <alignment horizontal="center"/>
      <protection hidden="1"/>
    </xf>
    <xf numFmtId="169" fontId="0" fillId="2" borderId="74" xfId="0" applyNumberFormat="1" applyFill="1" applyBorder="1" applyAlignment="1" applyProtection="1">
      <alignment horizontal="center"/>
      <protection hidden="1"/>
    </xf>
    <xf numFmtId="167" fontId="0" fillId="2" borderId="80" xfId="0" applyNumberFormat="1" applyFill="1" applyBorder="1" applyAlignment="1" applyProtection="1">
      <alignment horizontal="center"/>
      <protection hidden="1"/>
    </xf>
    <xf numFmtId="0" fontId="0" fillId="2" borderId="80" xfId="0" applyFill="1" applyBorder="1" applyAlignment="1" applyProtection="1">
      <alignment horizontal="center"/>
      <protection hidden="1"/>
    </xf>
    <xf numFmtId="165" fontId="0" fillId="2" borderId="78" xfId="0" applyNumberFormat="1" applyFill="1" applyBorder="1" applyAlignment="1" applyProtection="1">
      <alignment horizontal="center" vertical="center"/>
      <protection hidden="1"/>
    </xf>
    <xf numFmtId="0" fontId="0" fillId="2" borderId="83" xfId="0" applyFill="1" applyBorder="1" applyAlignment="1" applyProtection="1">
      <alignment horizontal="center"/>
      <protection hidden="1"/>
    </xf>
    <xf numFmtId="0" fontId="0" fillId="2" borderId="85" xfId="0" applyFill="1" applyBorder="1" applyAlignment="1" applyProtection="1">
      <alignment horizontal="center"/>
      <protection hidden="1"/>
    </xf>
    <xf numFmtId="169" fontId="0" fillId="2" borderId="89" xfId="0" applyNumberFormat="1" applyFill="1" applyBorder="1" applyAlignment="1" applyProtection="1">
      <alignment horizontal="center"/>
      <protection hidden="1"/>
    </xf>
    <xf numFmtId="169" fontId="0" fillId="2" borderId="90" xfId="0" applyNumberFormat="1" applyFill="1" applyBorder="1" applyAlignment="1" applyProtection="1">
      <alignment horizontal="center"/>
      <protection hidden="1"/>
    </xf>
    <xf numFmtId="169" fontId="0" fillId="2" borderId="78" xfId="0" applyNumberFormat="1" applyFill="1" applyBorder="1" applyAlignment="1" applyProtection="1">
      <alignment horizontal="center"/>
      <protection hidden="1"/>
    </xf>
    <xf numFmtId="169" fontId="0" fillId="2" borderId="76" xfId="0" applyNumberFormat="1" applyFill="1" applyBorder="1" applyAlignment="1" applyProtection="1">
      <alignment horizontal="center"/>
      <protection hidden="1"/>
    </xf>
    <xf numFmtId="167" fontId="0" fillId="4" borderId="78" xfId="0" applyNumberFormat="1" applyFill="1" applyBorder="1" applyAlignment="1" applyProtection="1">
      <alignment horizontal="center"/>
      <protection locked="0" hidden="1"/>
    </xf>
    <xf numFmtId="167" fontId="0" fillId="2" borderId="76" xfId="0" applyNumberFormat="1" applyFill="1" applyBorder="1" applyAlignment="1" applyProtection="1">
      <alignment horizontal="center"/>
      <protection locked="0" hidden="1"/>
    </xf>
    <xf numFmtId="168" fontId="0" fillId="4" borderId="78" xfId="0" applyNumberFormat="1" applyFill="1" applyBorder="1" applyAlignment="1" applyProtection="1">
      <alignment horizontal="center"/>
      <protection locked="0" hidden="1"/>
    </xf>
    <xf numFmtId="165" fontId="0" fillId="2" borderId="79" xfId="0" applyNumberFormat="1" applyFill="1" applyBorder="1" applyAlignment="1" applyProtection="1">
      <alignment horizontal="left"/>
      <protection hidden="1"/>
    </xf>
    <xf numFmtId="3" fontId="0" fillId="2" borderId="76" xfId="0" applyNumberFormat="1" applyFill="1" applyBorder="1" applyAlignment="1">
      <alignment horizontal="center"/>
    </xf>
    <xf numFmtId="169" fontId="0" fillId="2" borderId="77" xfId="0" applyNumberFormat="1" applyFill="1" applyBorder="1" applyAlignment="1">
      <alignment horizontal="center"/>
    </xf>
    <xf numFmtId="9" fontId="0" fillId="4" borderId="77" xfId="0" applyNumberFormat="1" applyFill="1" applyBorder="1" applyAlignment="1" applyProtection="1">
      <alignment horizontal="center"/>
      <protection locked="0" hidden="1"/>
    </xf>
    <xf numFmtId="9" fontId="0" fillId="2" borderId="77" xfId="0" applyNumberFormat="1" applyFill="1" applyBorder="1" applyAlignment="1" applyProtection="1">
      <alignment horizontal="center"/>
      <protection hidden="1"/>
    </xf>
    <xf numFmtId="168" fontId="0" fillId="2" borderId="78" xfId="0" applyNumberFormat="1" applyFill="1" applyBorder="1" applyAlignment="1" applyProtection="1">
      <alignment horizontal="center"/>
      <protection hidden="1"/>
    </xf>
    <xf numFmtId="169" fontId="0" fillId="2" borderId="77" xfId="0" applyNumberFormat="1" applyFill="1" applyBorder="1" applyAlignment="1" applyProtection="1">
      <alignment horizontal="center"/>
      <protection hidden="1"/>
    </xf>
    <xf numFmtId="0" fontId="0" fillId="2" borderId="76" xfId="0" applyFill="1" applyBorder="1" applyAlignment="1" applyProtection="1">
      <alignment horizontal="center"/>
      <protection hidden="1"/>
    </xf>
    <xf numFmtId="170" fontId="0" fillId="2" borderId="0" xfId="0" applyNumberFormat="1" applyFill="1" applyAlignment="1" applyProtection="1">
      <alignment horizontal="center"/>
      <protection hidden="1"/>
    </xf>
    <xf numFmtId="168" fontId="0" fillId="4" borderId="82" xfId="0" applyNumberFormat="1" applyFill="1" applyBorder="1" applyAlignment="1" applyProtection="1">
      <alignment horizontal="center"/>
      <protection locked="0" hidden="1"/>
    </xf>
    <xf numFmtId="165" fontId="0" fillId="3" borderId="76" xfId="0" applyNumberFormat="1" applyFill="1" applyBorder="1" applyProtection="1">
      <protection hidden="1"/>
    </xf>
    <xf numFmtId="165" fontId="0" fillId="3" borderId="77" xfId="0" applyNumberFormat="1" applyFill="1" applyBorder="1" applyProtection="1">
      <protection hidden="1"/>
    </xf>
    <xf numFmtId="165" fontId="0" fillId="3" borderId="78" xfId="0" applyNumberFormat="1" applyFill="1" applyBorder="1" applyProtection="1">
      <protection hidden="1"/>
    </xf>
    <xf numFmtId="165" fontId="0" fillId="2" borderId="75" xfId="0" applyNumberFormat="1" applyFill="1" applyBorder="1" applyProtection="1">
      <protection hidden="1"/>
    </xf>
    <xf numFmtId="165" fontId="3" fillId="2" borderId="86" xfId="0" applyNumberFormat="1" applyFont="1" applyFill="1" applyBorder="1" applyAlignment="1" applyProtection="1">
      <alignment horizontal="right"/>
      <protection hidden="1"/>
    </xf>
    <xf numFmtId="0" fontId="3" fillId="2" borderId="75" xfId="0" applyFont="1" applyFill="1" applyBorder="1" applyAlignment="1" applyProtection="1">
      <alignment horizontal="center"/>
      <protection hidden="1"/>
    </xf>
    <xf numFmtId="165" fontId="3" fillId="2" borderId="87" xfId="0" applyNumberFormat="1" applyFont="1" applyFill="1" applyBorder="1" applyAlignment="1" applyProtection="1">
      <alignment horizontal="right"/>
      <protection hidden="1"/>
    </xf>
    <xf numFmtId="165" fontId="3" fillId="4" borderId="77" xfId="0" applyNumberFormat="1" applyFont="1" applyFill="1" applyBorder="1" applyAlignment="1" applyProtection="1">
      <alignment horizontal="center"/>
      <protection locked="0" hidden="1"/>
    </xf>
    <xf numFmtId="3" fontId="3" fillId="2" borderId="75" xfId="0" applyNumberFormat="1" applyFont="1" applyFill="1" applyBorder="1" applyAlignment="1" applyProtection="1">
      <alignment horizontal="center"/>
      <protection hidden="1"/>
    </xf>
    <xf numFmtId="165" fontId="3" fillId="2" borderId="75" xfId="0" applyNumberFormat="1" applyFont="1" applyFill="1" applyBorder="1" applyAlignment="1" applyProtection="1">
      <alignment horizontal="right" vertical="center"/>
      <protection hidden="1"/>
    </xf>
    <xf numFmtId="165" fontId="0" fillId="11" borderId="77" xfId="0" applyNumberFormat="1" applyFill="1" applyBorder="1" applyProtection="1">
      <protection hidden="1"/>
    </xf>
    <xf numFmtId="165" fontId="0" fillId="2" borderId="78" xfId="0" applyNumberFormat="1" applyFill="1" applyBorder="1" applyProtection="1">
      <protection hidden="1"/>
    </xf>
    <xf numFmtId="3" fontId="3" fillId="4" borderId="76" xfId="0" applyNumberFormat="1" applyFont="1" applyFill="1" applyBorder="1" applyAlignment="1" applyProtection="1">
      <alignment horizontal="center"/>
      <protection locked="0" hidden="1"/>
    </xf>
    <xf numFmtId="167" fontId="3" fillId="4" borderId="78" xfId="0" applyNumberFormat="1" applyFont="1" applyFill="1" applyBorder="1" applyAlignment="1" applyProtection="1">
      <alignment horizontal="center"/>
      <protection locked="0" hidden="1"/>
    </xf>
    <xf numFmtId="0" fontId="0" fillId="3" borderId="78" xfId="0" applyFill="1" applyBorder="1" applyAlignment="1" applyProtection="1">
      <alignment horizontal="center"/>
      <protection hidden="1"/>
    </xf>
    <xf numFmtId="4" fontId="0" fillId="2" borderId="77" xfId="0" applyNumberFormat="1" applyFill="1" applyBorder="1" applyAlignment="1" applyProtection="1">
      <alignment horizontal="center"/>
      <protection hidden="1"/>
    </xf>
    <xf numFmtId="0" fontId="0" fillId="2" borderId="89" xfId="0" applyFill="1" applyBorder="1" applyAlignment="1" applyProtection="1">
      <alignment horizontal="center"/>
      <protection hidden="1"/>
    </xf>
    <xf numFmtId="165" fontId="0" fillId="2" borderId="90" xfId="0" applyNumberFormat="1" applyFill="1" applyBorder="1" applyAlignment="1" applyProtection="1">
      <alignment horizontal="center"/>
      <protection hidden="1"/>
    </xf>
    <xf numFmtId="0" fontId="0" fillId="2" borderId="75" xfId="0" applyFill="1" applyBorder="1" applyAlignment="1" applyProtection="1">
      <alignment horizontal="center"/>
      <protection hidden="1"/>
    </xf>
    <xf numFmtId="165" fontId="5" fillId="2" borderId="77" xfId="0" applyNumberFormat="1" applyFont="1" applyFill="1" applyBorder="1" applyAlignment="1" applyProtection="1">
      <alignment horizontal="center"/>
      <protection hidden="1"/>
    </xf>
    <xf numFmtId="165" fontId="0" fillId="2" borderId="76" xfId="0" applyNumberFormat="1" applyFill="1" applyBorder="1" applyAlignment="1" applyProtection="1">
      <alignment horizontal="left"/>
      <protection hidden="1"/>
    </xf>
    <xf numFmtId="165" fontId="0" fillId="2" borderId="77" xfId="0" applyNumberFormat="1" applyFill="1" applyBorder="1" applyAlignment="1" applyProtection="1">
      <alignment horizontal="left"/>
      <protection hidden="1"/>
    </xf>
    <xf numFmtId="165" fontId="0" fillId="2" borderId="91" xfId="0" applyNumberFormat="1" applyFill="1" applyBorder="1" applyAlignment="1" applyProtection="1">
      <alignment vertical="center"/>
      <protection hidden="1"/>
    </xf>
    <xf numFmtId="165" fontId="0" fillId="2" borderId="92" xfId="0" applyNumberFormat="1" applyFill="1" applyBorder="1" applyProtection="1">
      <protection hidden="1"/>
    </xf>
    <xf numFmtId="165" fontId="0" fillId="2" borderId="92" xfId="0" applyNumberFormat="1" applyFill="1" applyBorder="1" applyAlignment="1" applyProtection="1">
      <alignment horizontal="right"/>
      <protection hidden="1"/>
    </xf>
    <xf numFmtId="164" fontId="0" fillId="4" borderId="91" xfId="0" applyNumberFormat="1" applyFill="1" applyBorder="1" applyAlignment="1" applyProtection="1">
      <alignment horizontal="center"/>
      <protection locked="0" hidden="1"/>
    </xf>
    <xf numFmtId="165" fontId="0" fillId="2" borderId="92" xfId="0" applyNumberFormat="1" applyFill="1" applyBorder="1" applyAlignment="1" applyProtection="1">
      <alignment horizontal="center"/>
      <protection hidden="1"/>
    </xf>
    <xf numFmtId="165" fontId="0" fillId="2" borderId="93" xfId="0" applyNumberFormat="1" applyFill="1" applyBorder="1" applyAlignment="1" applyProtection="1">
      <alignment horizontal="center"/>
      <protection hidden="1"/>
    </xf>
    <xf numFmtId="165" fontId="0" fillId="2" borderId="86" xfId="0" applyNumberFormat="1" applyFill="1" applyBorder="1" applyAlignment="1" applyProtection="1">
      <alignment horizontal="center"/>
      <protection hidden="1"/>
    </xf>
    <xf numFmtId="165" fontId="0" fillId="2" borderId="75" xfId="0" applyNumberFormat="1" applyFill="1" applyBorder="1" applyAlignment="1" applyProtection="1">
      <alignment horizontal="right"/>
      <protection hidden="1"/>
    </xf>
    <xf numFmtId="167" fontId="0" fillId="2" borderId="77" xfId="0" applyNumberFormat="1" applyFill="1" applyBorder="1" applyAlignment="1" applyProtection="1">
      <alignment horizontal="center"/>
      <protection hidden="1"/>
    </xf>
    <xf numFmtId="167" fontId="0" fillId="4" borderId="91" xfId="0" applyNumberFormat="1" applyFill="1" applyBorder="1" applyAlignment="1" applyProtection="1">
      <alignment horizontal="center"/>
      <protection locked="0" hidden="1"/>
    </xf>
    <xf numFmtId="167" fontId="0" fillId="4" borderId="75" xfId="0" applyNumberFormat="1" applyFill="1" applyBorder="1" applyAlignment="1" applyProtection="1">
      <alignment horizontal="center"/>
      <protection locked="0" hidden="1"/>
    </xf>
    <xf numFmtId="165" fontId="0" fillId="2" borderId="76" xfId="0" applyNumberFormat="1" applyFill="1" applyBorder="1" applyAlignment="1" applyProtection="1">
      <alignment horizontal="center" wrapText="1"/>
      <protection hidden="1"/>
    </xf>
    <xf numFmtId="170" fontId="0" fillId="4" borderId="77" xfId="0" applyNumberFormat="1" applyFill="1" applyBorder="1" applyAlignment="1" applyProtection="1">
      <alignment horizontal="center"/>
      <protection locked="0" hidden="1"/>
    </xf>
    <xf numFmtId="170" fontId="0" fillId="4" borderId="78" xfId="0" applyNumberFormat="1" applyFill="1" applyBorder="1" applyAlignment="1" applyProtection="1">
      <alignment horizontal="center"/>
      <protection locked="0" hidden="1"/>
    </xf>
    <xf numFmtId="165" fontId="0" fillId="2" borderId="77" xfId="0" applyNumberFormat="1" applyFill="1" applyBorder="1" applyAlignment="1" applyProtection="1">
      <alignment horizontal="center" wrapText="1"/>
      <protection hidden="1"/>
    </xf>
    <xf numFmtId="170" fontId="0" fillId="2" borderId="77" xfId="0" applyNumberFormat="1" applyFill="1" applyBorder="1" applyAlignment="1" applyProtection="1">
      <alignment horizontal="center"/>
      <protection locked="0" hidden="1"/>
    </xf>
    <xf numFmtId="171" fontId="0" fillId="4" borderId="77" xfId="0" applyNumberFormat="1" applyFill="1" applyBorder="1" applyAlignment="1" applyProtection="1">
      <alignment horizontal="center"/>
      <protection locked="0" hidden="1"/>
    </xf>
    <xf numFmtId="171" fontId="0" fillId="4" borderId="78" xfId="0" applyNumberFormat="1" applyFill="1" applyBorder="1" applyAlignment="1" applyProtection="1">
      <alignment horizontal="center"/>
      <protection locked="0" hidden="1"/>
    </xf>
    <xf numFmtId="167" fontId="0" fillId="2" borderId="76" xfId="0" applyNumberFormat="1" applyFill="1" applyBorder="1" applyAlignment="1" applyProtection="1">
      <alignment horizontal="center"/>
      <protection hidden="1"/>
    </xf>
    <xf numFmtId="167" fontId="0" fillId="2" borderId="78" xfId="0" applyNumberFormat="1" applyFill="1" applyBorder="1" applyAlignment="1" applyProtection="1">
      <alignment horizontal="center"/>
      <protection hidden="1"/>
    </xf>
    <xf numFmtId="10" fontId="0" fillId="4" borderId="76" xfId="0" applyNumberFormat="1" applyFill="1" applyBorder="1" applyAlignment="1" applyProtection="1">
      <alignment horizontal="center"/>
      <protection locked="0" hidden="1"/>
    </xf>
    <xf numFmtId="165" fontId="0" fillId="2" borderId="89" xfId="0" applyNumberFormat="1" applyFill="1" applyBorder="1" applyAlignment="1" applyProtection="1">
      <alignment horizontal="center"/>
      <protection hidden="1"/>
    </xf>
    <xf numFmtId="165" fontId="0" fillId="2" borderId="78" xfId="0" applyNumberFormat="1" applyFill="1" applyBorder="1" applyAlignment="1" applyProtection="1">
      <alignment horizontal="left"/>
      <protection hidden="1"/>
    </xf>
    <xf numFmtId="167" fontId="0" fillId="2" borderId="77" xfId="0" applyNumberFormat="1" applyFill="1" applyBorder="1" applyAlignment="1">
      <alignment horizontal="center"/>
    </xf>
    <xf numFmtId="171" fontId="0" fillId="2" borderId="77" xfId="0" applyNumberFormat="1" applyFill="1" applyBorder="1" applyAlignment="1" applyProtection="1">
      <alignment horizontal="center"/>
      <protection hidden="1"/>
    </xf>
    <xf numFmtId="2" fontId="0" fillId="2" borderId="77" xfId="0" applyNumberFormat="1" applyFill="1" applyBorder="1" applyAlignment="1" applyProtection="1">
      <alignment horizontal="center"/>
      <protection hidden="1"/>
    </xf>
    <xf numFmtId="0" fontId="0" fillId="2" borderId="82" xfId="0" applyFill="1" applyBorder="1"/>
    <xf numFmtId="171" fontId="0" fillId="2" borderId="76" xfId="0" applyNumberFormat="1" applyFill="1" applyBorder="1" applyAlignment="1" applyProtection="1">
      <alignment horizontal="center"/>
      <protection hidden="1"/>
    </xf>
    <xf numFmtId="165" fontId="0" fillId="2" borderId="84" xfId="0" applyNumberFormat="1" applyFill="1" applyBorder="1" applyProtection="1">
      <protection hidden="1"/>
    </xf>
    <xf numFmtId="2" fontId="0" fillId="2" borderId="78" xfId="0" applyNumberFormat="1" applyFill="1" applyBorder="1" applyAlignment="1" applyProtection="1">
      <alignment horizontal="center"/>
      <protection hidden="1"/>
    </xf>
    <xf numFmtId="165" fontId="3" fillId="9" borderId="75" xfId="0" applyNumberFormat="1" applyFont="1" applyFill="1" applyBorder="1" applyAlignment="1" applyProtection="1">
      <alignment horizontal="right" vertical="center"/>
      <protection hidden="1"/>
    </xf>
    <xf numFmtId="165" fontId="3" fillId="22" borderId="75" xfId="0" applyNumberFormat="1" applyFont="1" applyFill="1" applyBorder="1" applyAlignment="1" applyProtection="1">
      <alignment horizontal="center" vertical="center"/>
      <protection hidden="1"/>
    </xf>
    <xf numFmtId="3" fontId="0" fillId="2" borderId="81" xfId="0" applyNumberFormat="1" applyFill="1" applyBorder="1" applyAlignment="1" applyProtection="1">
      <alignment horizontal="center"/>
      <protection hidden="1"/>
    </xf>
    <xf numFmtId="2" fontId="0" fillId="4" borderId="76" xfId="0" applyNumberFormat="1" applyFill="1" applyBorder="1" applyAlignment="1" applyProtection="1">
      <alignment horizontal="center"/>
      <protection locked="0" hidden="1"/>
    </xf>
    <xf numFmtId="165" fontId="3" fillId="2" borderId="79" xfId="0" applyNumberFormat="1" applyFont="1" applyFill="1" applyBorder="1" applyAlignment="1" applyProtection="1">
      <alignment horizontal="left"/>
      <protection hidden="1"/>
    </xf>
    <xf numFmtId="165" fontId="0" fillId="4" borderId="82" xfId="0" applyNumberFormat="1" applyFill="1" applyBorder="1" applyProtection="1">
      <protection locked="0" hidden="1"/>
    </xf>
    <xf numFmtId="165" fontId="0" fillId="4" borderId="84" xfId="0" applyNumberFormat="1" applyFill="1" applyBorder="1" applyProtection="1">
      <protection locked="0" hidden="1"/>
    </xf>
    <xf numFmtId="169" fontId="0" fillId="4" borderId="78" xfId="0" applyNumberFormat="1" applyFill="1" applyBorder="1" applyAlignment="1" applyProtection="1">
      <alignment horizontal="center"/>
      <protection locked="0" hidden="1"/>
    </xf>
    <xf numFmtId="4" fontId="0" fillId="2" borderId="84" xfId="0" applyNumberFormat="1" applyFill="1" applyBorder="1" applyAlignment="1" applyProtection="1">
      <alignment horizontal="center"/>
      <protection hidden="1"/>
    </xf>
    <xf numFmtId="165" fontId="0" fillId="4" borderId="78" xfId="0" applyNumberFormat="1" applyFill="1" applyBorder="1" applyAlignment="1" applyProtection="1">
      <alignment horizontal="center"/>
      <protection locked="0" hidden="1"/>
    </xf>
    <xf numFmtId="165" fontId="0" fillId="12" borderId="87" xfId="0" applyNumberFormat="1" applyFill="1" applyBorder="1" applyAlignment="1" applyProtection="1">
      <alignment horizontal="right"/>
      <protection hidden="1"/>
    </xf>
    <xf numFmtId="10" fontId="0" fillId="4" borderId="75" xfId="0" applyNumberFormat="1" applyFill="1" applyBorder="1" applyAlignment="1" applyProtection="1">
      <alignment horizontal="center"/>
      <protection locked="0" hidden="1"/>
    </xf>
    <xf numFmtId="0" fontId="0" fillId="12" borderId="87" xfId="0" applyFill="1" applyBorder="1" applyAlignment="1" applyProtection="1">
      <alignment horizontal="center"/>
      <protection hidden="1"/>
    </xf>
    <xf numFmtId="168" fontId="0" fillId="2" borderId="76" xfId="0" applyNumberFormat="1" applyFill="1" applyBorder="1" applyAlignment="1" applyProtection="1">
      <alignment horizontal="center"/>
      <protection hidden="1"/>
    </xf>
    <xf numFmtId="168" fontId="0" fillId="4" borderId="74" xfId="0" applyNumberFormat="1" applyFill="1" applyBorder="1" applyAlignment="1" applyProtection="1">
      <alignment horizontal="center"/>
      <protection locked="0" hidden="1"/>
    </xf>
    <xf numFmtId="0" fontId="0" fillId="2" borderId="0" xfId="0" applyFill="1" applyAlignment="1">
      <alignment horizontal="center"/>
    </xf>
    <xf numFmtId="1" fontId="0" fillId="2" borderId="74" xfId="0" applyNumberFormat="1" applyFill="1" applyBorder="1" applyAlignment="1" applyProtection="1">
      <alignment horizontal="center"/>
      <protection hidden="1"/>
    </xf>
    <xf numFmtId="0" fontId="0" fillId="2" borderId="83" xfId="0" applyFill="1" applyBorder="1" applyAlignment="1">
      <alignment horizontal="center"/>
    </xf>
    <xf numFmtId="0" fontId="0" fillId="2" borderId="79" xfId="0" applyFill="1" applyBorder="1" applyProtection="1">
      <protection hidden="1"/>
    </xf>
    <xf numFmtId="0" fontId="0" fillId="2" borderId="81" xfId="0" applyFill="1" applyBorder="1" applyAlignment="1" applyProtection="1">
      <alignment horizontal="center"/>
      <protection hidden="1"/>
    </xf>
    <xf numFmtId="171" fontId="0" fillId="2" borderId="80" xfId="0" applyNumberFormat="1" applyFill="1" applyBorder="1" applyAlignment="1" applyProtection="1">
      <alignment horizontal="center"/>
      <protection hidden="1"/>
    </xf>
    <xf numFmtId="174" fontId="0" fillId="6" borderId="83" xfId="0" applyNumberFormat="1" applyFill="1" applyBorder="1" applyAlignment="1">
      <alignment horizontal="center"/>
    </xf>
    <xf numFmtId="174" fontId="0" fillId="6" borderId="83" xfId="0" applyNumberFormat="1" applyFill="1" applyBorder="1" applyAlignment="1">
      <alignment horizontal="left"/>
    </xf>
    <xf numFmtId="0" fontId="0" fillId="6" borderId="80" xfId="0" applyFill="1" applyBorder="1"/>
    <xf numFmtId="174" fontId="0" fillId="6" borderId="81" xfId="0" applyNumberFormat="1" applyFill="1" applyBorder="1" applyAlignment="1">
      <alignment horizontal="center"/>
    </xf>
    <xf numFmtId="174" fontId="0" fillId="6" borderId="74" xfId="0" applyNumberFormat="1" applyFill="1" applyBorder="1"/>
    <xf numFmtId="174" fontId="0" fillId="6" borderId="85" xfId="0" applyNumberFormat="1" applyFill="1" applyBorder="1" applyAlignment="1">
      <alignment horizontal="center"/>
    </xf>
    <xf numFmtId="167" fontId="0" fillId="6" borderId="77" xfId="0" applyNumberFormat="1" applyFill="1" applyBorder="1" applyAlignment="1">
      <alignment horizontal="center"/>
    </xf>
    <xf numFmtId="174" fontId="0" fillId="6" borderId="78" xfId="0" applyNumberFormat="1" applyFill="1" applyBorder="1" applyAlignment="1">
      <alignment horizontal="center"/>
    </xf>
    <xf numFmtId="174" fontId="0" fillId="13" borderId="79" xfId="0" applyNumberFormat="1" applyFill="1" applyBorder="1"/>
    <xf numFmtId="174" fontId="0" fillId="13" borderId="81" xfId="0" applyNumberFormat="1" applyFill="1" applyBorder="1" applyAlignment="1">
      <alignment horizontal="center"/>
    </xf>
    <xf numFmtId="174" fontId="0" fillId="13" borderId="82" xfId="0" applyNumberFormat="1" applyFill="1" applyBorder="1"/>
    <xf numFmtId="174" fontId="0" fillId="13" borderId="83" xfId="0" applyNumberFormat="1" applyFill="1" applyBorder="1" applyAlignment="1">
      <alignment horizontal="center"/>
    </xf>
    <xf numFmtId="174" fontId="0" fillId="13" borderId="84" xfId="0" applyNumberFormat="1" applyFill="1" applyBorder="1"/>
    <xf numFmtId="174" fontId="0" fillId="13" borderId="85" xfId="0" applyNumberFormat="1" applyFill="1" applyBorder="1" applyAlignment="1">
      <alignment horizontal="left"/>
    </xf>
    <xf numFmtId="174" fontId="0" fillId="6" borderId="78" xfId="0" applyNumberFormat="1" applyFill="1" applyBorder="1"/>
    <xf numFmtId="174" fontId="0" fillId="13" borderId="80" xfId="0" applyNumberFormat="1" applyFill="1" applyBorder="1"/>
    <xf numFmtId="174" fontId="0" fillId="13" borderId="0" xfId="0" applyNumberFormat="1" applyFill="1"/>
    <xf numFmtId="174" fontId="0" fillId="13" borderId="74" xfId="0" applyNumberFormat="1" applyFill="1" applyBorder="1"/>
    <xf numFmtId="164" fontId="0" fillId="6" borderId="77" xfId="0" applyNumberFormat="1" applyFill="1" applyBorder="1" applyAlignment="1" applyProtection="1">
      <alignment horizontal="center"/>
      <protection hidden="1"/>
    </xf>
    <xf numFmtId="3" fontId="0" fillId="13" borderId="77" xfId="0" applyNumberFormat="1" applyFill="1" applyBorder="1" applyAlignment="1" applyProtection="1">
      <alignment horizontal="center"/>
      <protection hidden="1"/>
    </xf>
    <xf numFmtId="3" fontId="0" fillId="6" borderId="77" xfId="0" applyNumberFormat="1" applyFill="1" applyBorder="1" applyAlignment="1">
      <alignment horizontal="center"/>
    </xf>
    <xf numFmtId="174" fontId="0" fillId="6" borderId="77" xfId="0" applyNumberFormat="1" applyFill="1" applyBorder="1" applyAlignment="1">
      <alignment horizontal="center"/>
    </xf>
    <xf numFmtId="174" fontId="0" fillId="14" borderId="86" xfId="0" applyNumberFormat="1" applyFill="1" applyBorder="1"/>
    <xf numFmtId="177" fontId="0" fillId="14" borderId="75" xfId="0" applyNumberFormat="1" applyFill="1" applyBorder="1" applyAlignment="1">
      <alignment horizontal="center"/>
    </xf>
    <xf numFmtId="174" fontId="0" fillId="14" borderId="88" xfId="0" applyNumberFormat="1" applyFill="1" applyBorder="1" applyAlignment="1">
      <alignment horizontal="center"/>
    </xf>
    <xf numFmtId="0" fontId="0" fillId="6" borderId="79" xfId="0" applyFill="1" applyBorder="1"/>
    <xf numFmtId="174" fontId="0" fillId="6" borderId="82" xfId="0" applyNumberFormat="1" applyFill="1" applyBorder="1"/>
    <xf numFmtId="174" fontId="0" fillId="6" borderId="84" xfId="0" applyNumberFormat="1" applyFill="1" applyBorder="1"/>
    <xf numFmtId="174" fontId="0" fillId="6" borderId="85" xfId="0" applyNumberFormat="1" applyFill="1" applyBorder="1" applyAlignment="1">
      <alignment horizontal="left"/>
    </xf>
    <xf numFmtId="174" fontId="0" fillId="15" borderId="86" xfId="0" applyNumberFormat="1" applyFill="1" applyBorder="1"/>
    <xf numFmtId="174" fontId="0" fillId="15" borderId="88" xfId="0" applyNumberFormat="1" applyFill="1" applyBorder="1" applyAlignment="1">
      <alignment horizontal="center"/>
    </xf>
    <xf numFmtId="175" fontId="0" fillId="6" borderId="77" xfId="0" applyNumberFormat="1" applyFill="1" applyBorder="1" applyAlignment="1">
      <alignment horizontal="center"/>
    </xf>
    <xf numFmtId="174" fontId="0" fillId="15" borderId="75" xfId="0" applyNumberFormat="1" applyFill="1" applyBorder="1" applyAlignment="1">
      <alignment horizontal="center"/>
    </xf>
    <xf numFmtId="168" fontId="0" fillId="14" borderId="75" xfId="0" applyNumberFormat="1" applyFill="1" applyBorder="1" applyAlignment="1">
      <alignment horizontal="center"/>
    </xf>
    <xf numFmtId="0" fontId="0" fillId="6" borderId="81" xfId="0" applyFill="1" applyBorder="1"/>
    <xf numFmtId="0" fontId="0" fillId="6" borderId="82" xfId="0" applyFill="1" applyBorder="1"/>
    <xf numFmtId="0" fontId="0" fillId="6" borderId="82" xfId="0" applyFill="1" applyBorder="1" applyAlignment="1">
      <alignment horizontal="left"/>
    </xf>
    <xf numFmtId="168" fontId="0" fillId="6" borderId="83" xfId="0" applyNumberFormat="1" applyFill="1" applyBorder="1" applyAlignment="1">
      <alignment horizontal="center"/>
    </xf>
    <xf numFmtId="0" fontId="0" fillId="6" borderId="84" xfId="0" applyFill="1" applyBorder="1" applyAlignment="1">
      <alignment horizontal="left"/>
    </xf>
    <xf numFmtId="0" fontId="0" fillId="6" borderId="76" xfId="0" applyFill="1" applyBorder="1"/>
    <xf numFmtId="168" fontId="0" fillId="6" borderId="77" xfId="0" applyNumberFormat="1" applyFill="1" applyBorder="1" applyAlignment="1">
      <alignment horizontal="center"/>
    </xf>
    <xf numFmtId="9" fontId="0" fillId="6" borderId="78" xfId="0" applyNumberFormat="1" applyFill="1" applyBorder="1" applyAlignment="1" applyProtection="1">
      <alignment horizontal="center"/>
      <protection locked="0" hidden="1"/>
    </xf>
    <xf numFmtId="0" fontId="17" fillId="6" borderId="76" xfId="0" applyFont="1" applyFill="1" applyBorder="1" applyAlignment="1">
      <alignment horizontal="center"/>
    </xf>
    <xf numFmtId="168" fontId="0" fillId="6" borderId="77" xfId="0" applyNumberFormat="1" applyFill="1" applyBorder="1" applyAlignment="1" applyProtection="1">
      <alignment horizontal="center"/>
      <protection hidden="1"/>
    </xf>
    <xf numFmtId="164" fontId="0" fillId="6" borderId="77" xfId="0" applyNumberFormat="1" applyFill="1" applyBorder="1" applyAlignment="1">
      <alignment horizontal="center"/>
    </xf>
    <xf numFmtId="174" fontId="0" fillId="6" borderId="79" xfId="0" applyNumberFormat="1" applyFill="1" applyBorder="1"/>
    <xf numFmtId="0" fontId="0" fillId="6" borderId="83" xfId="0" applyFill="1" applyBorder="1"/>
    <xf numFmtId="174" fontId="17" fillId="6" borderId="76" xfId="0" applyNumberFormat="1" applyFont="1" applyFill="1" applyBorder="1" applyAlignment="1">
      <alignment horizontal="center"/>
    </xf>
    <xf numFmtId="0" fontId="0" fillId="4" borderId="77" xfId="0" applyFill="1" applyBorder="1" applyAlignment="1" applyProtection="1">
      <alignment horizontal="center"/>
      <protection locked="0" hidden="1"/>
    </xf>
    <xf numFmtId="3" fontId="0" fillId="6" borderId="76" xfId="0" applyNumberFormat="1" applyFill="1" applyBorder="1" applyAlignment="1">
      <alignment horizontal="center"/>
    </xf>
    <xf numFmtId="167" fontId="0" fillId="4" borderId="77" xfId="0" applyNumberFormat="1" applyFill="1" applyBorder="1" applyProtection="1">
      <protection locked="0" hidden="1"/>
    </xf>
    <xf numFmtId="3" fontId="0" fillId="6" borderId="77" xfId="0" applyNumberFormat="1" applyFill="1" applyBorder="1" applyAlignment="1" applyProtection="1">
      <alignment horizontal="center"/>
      <protection hidden="1"/>
    </xf>
    <xf numFmtId="174" fontId="0" fillId="6" borderId="82" xfId="0" applyNumberFormat="1" applyFill="1" applyBorder="1" applyAlignment="1">
      <alignment horizontal="left" vertical="center" wrapText="1"/>
    </xf>
    <xf numFmtId="3" fontId="3" fillId="16" borderId="77" xfId="0" applyNumberFormat="1" applyFont="1" applyFill="1" applyBorder="1" applyAlignment="1" applyProtection="1">
      <alignment horizontal="center"/>
      <protection locked="0"/>
    </xf>
    <xf numFmtId="174" fontId="0" fillId="6" borderId="86" xfId="0" applyNumberFormat="1" applyFill="1" applyBorder="1" applyAlignment="1">
      <alignment horizontal="center" vertical="center" wrapText="1"/>
    </xf>
    <xf numFmtId="3" fontId="0" fillId="6" borderId="75" xfId="0" applyNumberFormat="1" applyFill="1" applyBorder="1" applyAlignment="1">
      <alignment horizontal="center"/>
    </xf>
    <xf numFmtId="174" fontId="0" fillId="6" borderId="88" xfId="0" applyNumberFormat="1" applyFill="1" applyBorder="1" applyAlignment="1">
      <alignment horizontal="center" vertical="center" wrapText="1"/>
    </xf>
    <xf numFmtId="0" fontId="31" fillId="2" borderId="91" xfId="0" applyFont="1" applyFill="1" applyBorder="1" applyAlignment="1">
      <alignment horizontal="center" vertical="center" wrapText="1"/>
    </xf>
    <xf numFmtId="0" fontId="0" fillId="2" borderId="77" xfId="0" applyFill="1" applyBorder="1"/>
    <xf numFmtId="0" fontId="0" fillId="2" borderId="90" xfId="0" applyFill="1" applyBorder="1" applyAlignment="1">
      <alignment horizontal="center" vertical="center" wrapText="1"/>
    </xf>
    <xf numFmtId="0" fontId="0" fillId="2" borderId="94" xfId="0" applyFill="1" applyBorder="1"/>
    <xf numFmtId="0" fontId="1" fillId="4" borderId="75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165" fontId="1" fillId="17" borderId="79" xfId="0" applyNumberFormat="1" applyFont="1" applyFill="1" applyBorder="1" applyAlignment="1" applyProtection="1">
      <alignment horizontal="center" vertical="center"/>
      <protection hidden="1"/>
    </xf>
    <xf numFmtId="165" fontId="1" fillId="17" borderId="80" xfId="0" applyNumberFormat="1" applyFont="1" applyFill="1" applyBorder="1" applyAlignment="1" applyProtection="1">
      <alignment horizontal="center" vertical="center"/>
      <protection hidden="1"/>
    </xf>
    <xf numFmtId="165" fontId="1" fillId="17" borderId="81" xfId="0" applyNumberFormat="1" applyFont="1" applyFill="1" applyBorder="1" applyAlignment="1" applyProtection="1">
      <alignment horizontal="center" vertical="center"/>
      <protection hidden="1"/>
    </xf>
    <xf numFmtId="165" fontId="2" fillId="18" borderId="82" xfId="0" applyNumberFormat="1" applyFont="1" applyFill="1" applyBorder="1" applyAlignment="1" applyProtection="1">
      <alignment horizontal="center" vertical="center"/>
      <protection hidden="1"/>
    </xf>
    <xf numFmtId="165" fontId="2" fillId="18" borderId="0" xfId="0" applyNumberFormat="1" applyFont="1" applyFill="1" applyAlignment="1" applyProtection="1">
      <alignment horizontal="center" vertical="center"/>
      <protection hidden="1"/>
    </xf>
    <xf numFmtId="165" fontId="2" fillId="18" borderId="83" xfId="0" applyNumberFormat="1" applyFont="1" applyFill="1" applyBorder="1" applyAlignment="1" applyProtection="1">
      <alignment horizontal="center" vertical="center"/>
      <protection hidden="1"/>
    </xf>
    <xf numFmtId="165" fontId="3" fillId="13" borderId="84" xfId="0" applyNumberFormat="1" applyFont="1" applyFill="1" applyBorder="1" applyAlignment="1" applyProtection="1">
      <alignment horizontal="center" vertical="center"/>
      <protection hidden="1"/>
    </xf>
    <xf numFmtId="165" fontId="3" fillId="13" borderId="74" xfId="0" applyNumberFormat="1" applyFont="1" applyFill="1" applyBorder="1" applyAlignment="1" applyProtection="1">
      <alignment horizontal="center" vertical="center"/>
      <protection hidden="1"/>
    </xf>
    <xf numFmtId="165" fontId="3" fillId="13" borderId="85" xfId="0" applyNumberFormat="1" applyFont="1" applyFill="1" applyBorder="1" applyAlignment="1" applyProtection="1">
      <alignment horizontal="center" vertical="center"/>
      <protection hidden="1"/>
    </xf>
    <xf numFmtId="165" fontId="0" fillId="10" borderId="86" xfId="0" applyNumberFormat="1" applyFill="1" applyBorder="1" applyAlignment="1" applyProtection="1">
      <alignment vertical="center"/>
      <protection hidden="1"/>
    </xf>
    <xf numFmtId="165" fontId="0" fillId="10" borderId="87" xfId="0" applyNumberFormat="1" applyFill="1" applyBorder="1" applyAlignment="1" applyProtection="1">
      <alignment vertical="center"/>
      <protection hidden="1"/>
    </xf>
    <xf numFmtId="165" fontId="0" fillId="10" borderId="88" xfId="0" applyNumberFormat="1" applyFill="1" applyBorder="1" applyAlignment="1" applyProtection="1">
      <alignment vertical="center"/>
      <protection hidden="1"/>
    </xf>
    <xf numFmtId="166" fontId="0" fillId="2" borderId="86" xfId="0" applyNumberFormat="1" applyFill="1" applyBorder="1" applyAlignment="1" applyProtection="1">
      <alignment horizontal="center" vertical="center"/>
      <protection hidden="1"/>
    </xf>
    <xf numFmtId="166" fontId="0" fillId="2" borderId="87" xfId="0" applyNumberFormat="1" applyFill="1" applyBorder="1" applyAlignment="1" applyProtection="1">
      <alignment horizontal="center" vertical="center"/>
      <protection hidden="1"/>
    </xf>
    <xf numFmtId="166" fontId="0" fillId="2" borderId="88" xfId="0" applyNumberFormat="1" applyFill="1" applyBorder="1" applyAlignment="1" applyProtection="1">
      <alignment horizontal="center" vertical="center"/>
      <protection hidden="1"/>
    </xf>
    <xf numFmtId="165" fontId="0" fillId="10" borderId="86" xfId="0" applyNumberFormat="1" applyFill="1" applyBorder="1" applyProtection="1">
      <protection hidden="1"/>
    </xf>
    <xf numFmtId="165" fontId="0" fillId="10" borderId="87" xfId="0" applyNumberFormat="1" applyFill="1" applyBorder="1" applyProtection="1">
      <protection hidden="1"/>
    </xf>
    <xf numFmtId="165" fontId="0" fillId="10" borderId="88" xfId="0" applyNumberFormat="1" applyFill="1" applyBorder="1" applyProtection="1">
      <protection hidden="1"/>
    </xf>
    <xf numFmtId="165" fontId="3" fillId="10" borderId="82" xfId="0" applyNumberFormat="1" applyFont="1" applyFill="1" applyBorder="1" applyAlignment="1" applyProtection="1">
      <alignment horizontal="center" vertical="center"/>
      <protection hidden="1"/>
    </xf>
    <xf numFmtId="165" fontId="3" fillId="10" borderId="0" xfId="0" applyNumberFormat="1" applyFont="1" applyFill="1" applyAlignment="1" applyProtection="1">
      <alignment horizontal="center" vertical="center"/>
      <protection hidden="1"/>
    </xf>
    <xf numFmtId="165" fontId="3" fillId="10" borderId="83" xfId="0" applyNumberFormat="1" applyFont="1" applyFill="1" applyBorder="1" applyAlignment="1" applyProtection="1">
      <alignment horizontal="center" vertical="center"/>
      <protection hidden="1"/>
    </xf>
    <xf numFmtId="165" fontId="1" fillId="4" borderId="95" xfId="0" applyNumberFormat="1" applyFont="1" applyFill="1" applyBorder="1" applyAlignment="1" applyProtection="1">
      <alignment horizontal="center" vertical="center"/>
      <protection locked="0" hidden="1"/>
    </xf>
    <xf numFmtId="165" fontId="1" fillId="4" borderId="96" xfId="0" applyNumberFormat="1" applyFont="1" applyFill="1" applyBorder="1" applyAlignment="1" applyProtection="1">
      <alignment horizontal="center" vertical="center"/>
      <protection locked="0" hidden="1"/>
    </xf>
    <xf numFmtId="165" fontId="1" fillId="4" borderId="97" xfId="0" applyNumberFormat="1" applyFont="1" applyFill="1" applyBorder="1" applyAlignment="1" applyProtection="1">
      <alignment horizontal="center" vertical="center"/>
      <protection locked="0" hidden="1"/>
    </xf>
    <xf numFmtId="165" fontId="0" fillId="10" borderId="84" xfId="0" applyNumberFormat="1" applyFill="1" applyBorder="1" applyAlignment="1" applyProtection="1">
      <alignment vertical="center"/>
      <protection hidden="1"/>
    </xf>
    <xf numFmtId="165" fontId="0" fillId="10" borderId="74" xfId="0" applyNumberFormat="1" applyFill="1" applyBorder="1" applyAlignment="1" applyProtection="1">
      <alignment vertical="center"/>
      <protection hidden="1"/>
    </xf>
    <xf numFmtId="165" fontId="0" fillId="10" borderId="85" xfId="0" applyNumberFormat="1" applyFill="1" applyBorder="1" applyAlignment="1" applyProtection="1">
      <alignment vertical="center"/>
      <protection hidden="1"/>
    </xf>
    <xf numFmtId="165" fontId="3" fillId="2" borderId="30" xfId="0" applyNumberFormat="1" applyFont="1" applyFill="1" applyBorder="1" applyAlignment="1" applyProtection="1">
      <alignment horizontal="center" vertical="center"/>
      <protection hidden="1"/>
    </xf>
    <xf numFmtId="165" fontId="3" fillId="2" borderId="28" xfId="0" applyNumberFormat="1" applyFont="1" applyFill="1" applyBorder="1" applyAlignment="1" applyProtection="1">
      <alignment horizontal="center" vertical="center"/>
      <protection hidden="1"/>
    </xf>
    <xf numFmtId="165" fontId="3" fillId="2" borderId="60" xfId="0" applyNumberFormat="1" applyFont="1" applyFill="1" applyBorder="1" applyAlignment="1" applyProtection="1">
      <alignment horizontal="center" vertical="center"/>
      <protection hidden="1"/>
    </xf>
    <xf numFmtId="165" fontId="3" fillId="2" borderId="98" xfId="0" applyNumberFormat="1" applyFont="1" applyFill="1" applyBorder="1" applyAlignment="1" applyProtection="1">
      <alignment horizontal="center" vertical="center"/>
      <protection hidden="1"/>
    </xf>
    <xf numFmtId="165" fontId="3" fillId="2" borderId="91" xfId="0" applyNumberFormat="1" applyFont="1" applyFill="1" applyBorder="1" applyAlignment="1" applyProtection="1">
      <alignment horizontal="center" vertical="center"/>
      <protection hidden="1"/>
    </xf>
    <xf numFmtId="165" fontId="3" fillId="2" borderId="94" xfId="0" applyNumberFormat="1" applyFont="1" applyFill="1" applyBorder="1" applyAlignment="1" applyProtection="1">
      <alignment horizontal="center" vertical="center"/>
      <protection hidden="1"/>
    </xf>
    <xf numFmtId="165" fontId="3" fillId="2" borderId="78" xfId="0" applyNumberFormat="1" applyFont="1" applyFill="1" applyBorder="1" applyAlignment="1" applyProtection="1">
      <alignment horizontal="center" vertical="center"/>
      <protection hidden="1"/>
    </xf>
    <xf numFmtId="165" fontId="3" fillId="2" borderId="99" xfId="0" applyNumberFormat="1" applyFont="1" applyFill="1" applyBorder="1" applyAlignment="1" applyProtection="1">
      <alignment horizontal="center" vertical="center"/>
      <protection hidden="1"/>
    </xf>
    <xf numFmtId="165" fontId="3" fillId="2" borderId="100" xfId="0" applyNumberFormat="1" applyFont="1" applyFill="1" applyBorder="1" applyAlignment="1" applyProtection="1">
      <alignment horizontal="center" vertical="center"/>
      <protection hidden="1"/>
    </xf>
    <xf numFmtId="165" fontId="0" fillId="2" borderId="94" xfId="0" applyNumberFormat="1" applyFill="1" applyBorder="1" applyAlignment="1" applyProtection="1">
      <alignment vertical="center"/>
      <protection hidden="1"/>
    </xf>
    <xf numFmtId="165" fontId="0" fillId="2" borderId="77" xfId="0" applyNumberFormat="1" applyFill="1" applyBorder="1" applyAlignment="1" applyProtection="1">
      <alignment vertical="center"/>
      <protection hidden="1"/>
    </xf>
    <xf numFmtId="0" fontId="0" fillId="2" borderId="0" xfId="0" applyFill="1" applyAlignment="1">
      <alignment horizontal="center" vertical="center" wrapText="1"/>
    </xf>
    <xf numFmtId="165" fontId="0" fillId="2" borderId="78" xfId="0" applyNumberFormat="1" applyFill="1" applyBorder="1" applyAlignment="1" applyProtection="1">
      <alignment vertical="center"/>
      <protection hidden="1"/>
    </xf>
    <xf numFmtId="165" fontId="3" fillId="2" borderId="94" xfId="0" applyNumberFormat="1" applyFont="1" applyFill="1" applyBorder="1" applyAlignment="1" applyProtection="1">
      <alignment horizontal="right" vertical="center"/>
      <protection hidden="1"/>
    </xf>
    <xf numFmtId="165" fontId="3" fillId="2" borderId="99" xfId="0" applyNumberFormat="1" applyFont="1" applyFill="1" applyBorder="1" applyAlignment="1" applyProtection="1">
      <alignment horizontal="right" vertical="center"/>
      <protection hidden="1"/>
    </xf>
    <xf numFmtId="165" fontId="3" fillId="2" borderId="101" xfId="0" applyNumberFormat="1" applyFont="1" applyFill="1" applyBorder="1" applyAlignment="1" applyProtection="1">
      <alignment horizontal="right" vertical="center"/>
      <protection hidden="1"/>
    </xf>
    <xf numFmtId="165" fontId="0" fillId="2" borderId="77" xfId="0" applyNumberFormat="1" applyFill="1" applyBorder="1" applyAlignment="1" applyProtection="1">
      <alignment horizontal="center" vertical="center"/>
      <protection hidden="1"/>
    </xf>
    <xf numFmtId="165" fontId="0" fillId="10" borderId="86" xfId="0" applyNumberFormat="1" applyFill="1" applyBorder="1" applyAlignment="1" applyProtection="1">
      <alignment horizontal="center" vertical="center"/>
      <protection hidden="1"/>
    </xf>
    <xf numFmtId="165" fontId="0" fillId="10" borderId="87" xfId="0" applyNumberFormat="1" applyFill="1" applyBorder="1" applyAlignment="1" applyProtection="1">
      <alignment horizontal="center" vertical="center"/>
      <protection hidden="1"/>
    </xf>
    <xf numFmtId="165" fontId="0" fillId="10" borderId="88" xfId="0" applyNumberFormat="1" applyFill="1" applyBorder="1" applyAlignment="1" applyProtection="1">
      <alignment horizontal="center" vertical="center"/>
      <protection hidden="1"/>
    </xf>
    <xf numFmtId="0" fontId="3" fillId="9" borderId="76" xfId="0" applyFont="1" applyFill="1" applyBorder="1" applyAlignment="1" applyProtection="1">
      <alignment horizontal="center" vertical="center"/>
      <protection hidden="1"/>
    </xf>
    <xf numFmtId="0" fontId="3" fillId="9" borderId="78" xfId="0" applyFont="1" applyFill="1" applyBorder="1" applyAlignment="1" applyProtection="1">
      <alignment horizontal="center" vertical="center"/>
      <protection hidden="1"/>
    </xf>
    <xf numFmtId="165" fontId="0" fillId="2" borderId="76" xfId="0" applyNumberFormat="1" applyFill="1" applyBorder="1" applyAlignment="1" applyProtection="1">
      <alignment horizontal="center" vertical="center"/>
      <protection hidden="1"/>
    </xf>
    <xf numFmtId="165" fontId="0" fillId="2" borderId="78" xfId="0" applyNumberFormat="1" applyFill="1" applyBorder="1" applyAlignment="1" applyProtection="1">
      <alignment horizontal="center" vertical="center"/>
      <protection hidden="1"/>
    </xf>
    <xf numFmtId="165" fontId="0" fillId="10" borderId="0" xfId="0" applyNumberFormat="1" applyFill="1" applyAlignment="1" applyProtection="1">
      <alignment vertical="center"/>
      <protection hidden="1"/>
    </xf>
    <xf numFmtId="165" fontId="0" fillId="10" borderId="102" xfId="0" applyNumberFormat="1" applyFill="1" applyBorder="1" applyAlignment="1" applyProtection="1">
      <alignment vertical="center"/>
      <protection hidden="1"/>
    </xf>
    <xf numFmtId="165" fontId="0" fillId="10" borderId="103" xfId="0" applyNumberFormat="1" applyFill="1" applyBorder="1" applyAlignment="1" applyProtection="1">
      <alignment vertical="center"/>
      <protection hidden="1"/>
    </xf>
    <xf numFmtId="165" fontId="0" fillId="2" borderId="104" xfId="0" applyNumberForma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/>
    <xf numFmtId="0" fontId="1" fillId="17" borderId="79" xfId="0" applyFont="1" applyFill="1" applyBorder="1" applyAlignment="1">
      <alignment horizontal="center" vertical="center"/>
    </xf>
    <xf numFmtId="0" fontId="1" fillId="17" borderId="80" xfId="0" applyFont="1" applyFill="1" applyBorder="1" applyAlignment="1">
      <alignment horizontal="center" vertical="center"/>
    </xf>
    <xf numFmtId="0" fontId="1" fillId="17" borderId="81" xfId="0" applyFont="1" applyFill="1" applyBorder="1" applyAlignment="1">
      <alignment horizontal="center" vertical="center"/>
    </xf>
    <xf numFmtId="0" fontId="1" fillId="17" borderId="82" xfId="0" applyFont="1" applyFill="1" applyBorder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83" xfId="0" applyFont="1" applyFill="1" applyBorder="1" applyAlignment="1">
      <alignment horizontal="center" vertical="center"/>
    </xf>
    <xf numFmtId="0" fontId="6" fillId="19" borderId="0" xfId="0" applyFont="1" applyFill="1" applyAlignment="1" applyProtection="1">
      <alignment horizontal="center" vertical="center"/>
      <protection hidden="1"/>
    </xf>
    <xf numFmtId="174" fontId="1" fillId="14" borderId="76" xfId="0" applyNumberFormat="1" applyFont="1" applyFill="1" applyBorder="1" applyAlignment="1">
      <alignment horizontal="center" vertical="center" wrapText="1"/>
    </xf>
    <xf numFmtId="174" fontId="1" fillId="14" borderId="90" xfId="0" applyNumberFormat="1" applyFont="1" applyFill="1" applyBorder="1" applyAlignment="1">
      <alignment horizontal="center" vertical="center" wrapText="1"/>
    </xf>
    <xf numFmtId="174" fontId="1" fillId="14" borderId="105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1" fillId="20" borderId="76" xfId="0" applyNumberFormat="1" applyFont="1" applyFill="1" applyBorder="1" applyAlignment="1">
      <alignment horizontal="center" vertical="center" wrapText="1"/>
    </xf>
    <xf numFmtId="174" fontId="1" fillId="20" borderId="90" xfId="0" applyNumberFormat="1" applyFont="1" applyFill="1" applyBorder="1" applyAlignment="1">
      <alignment horizontal="center" vertical="center" wrapText="1"/>
    </xf>
    <xf numFmtId="174" fontId="1" fillId="20" borderId="105" xfId="0" applyNumberFormat="1" applyFont="1" applyFill="1" applyBorder="1" applyAlignment="1">
      <alignment horizontal="center" vertical="center" wrapText="1"/>
    </xf>
    <xf numFmtId="174" fontId="0" fillId="0" borderId="1" xfId="0" applyNumberFormat="1" applyBorder="1" applyAlignment="1">
      <alignment horizontal="center"/>
    </xf>
    <xf numFmtId="0" fontId="1" fillId="3" borderId="91" xfId="0" applyFont="1" applyFill="1" applyBorder="1" applyAlignment="1">
      <alignment horizontal="center" vertical="center" wrapText="1"/>
    </xf>
    <xf numFmtId="0" fontId="1" fillId="3" borderId="99" xfId="0" applyFont="1" applyFill="1" applyBorder="1" applyAlignment="1">
      <alignment horizontal="center" vertical="center" wrapText="1"/>
    </xf>
    <xf numFmtId="0" fontId="1" fillId="3" borderId="101" xfId="0" applyFont="1" applyFill="1" applyBorder="1" applyAlignment="1">
      <alignment horizontal="center" vertical="center" wrapText="1"/>
    </xf>
    <xf numFmtId="174" fontId="1" fillId="3" borderId="91" xfId="0" applyNumberFormat="1" applyFont="1" applyFill="1" applyBorder="1" applyAlignment="1">
      <alignment horizontal="center" vertical="center" wrapText="1"/>
    </xf>
    <xf numFmtId="174" fontId="1" fillId="3" borderId="99" xfId="0" applyNumberFormat="1" applyFont="1" applyFill="1" applyBorder="1" applyAlignment="1">
      <alignment horizontal="center" vertical="center" wrapText="1"/>
    </xf>
    <xf numFmtId="174" fontId="1" fillId="3" borderId="101" xfId="0" applyNumberFormat="1" applyFont="1" applyFill="1" applyBorder="1" applyAlignment="1">
      <alignment horizontal="center" vertical="center" wrapText="1"/>
    </xf>
    <xf numFmtId="174" fontId="2" fillId="15" borderId="82" xfId="0" applyNumberFormat="1" applyFont="1" applyFill="1" applyBorder="1" applyAlignment="1">
      <alignment horizontal="center" vertical="center"/>
    </xf>
    <xf numFmtId="174" fontId="2" fillId="15" borderId="0" xfId="0" applyNumberFormat="1" applyFont="1" applyFill="1" applyAlignment="1">
      <alignment horizontal="center" vertical="center"/>
    </xf>
    <xf numFmtId="174" fontId="2" fillId="15" borderId="83" xfId="0" applyNumberFormat="1" applyFont="1" applyFill="1" applyBorder="1" applyAlignment="1">
      <alignment horizontal="center" vertical="center"/>
    </xf>
    <xf numFmtId="174" fontId="0" fillId="15" borderId="84" xfId="0" applyNumberFormat="1" applyFill="1" applyBorder="1" applyAlignment="1">
      <alignment horizontal="center"/>
    </xf>
    <xf numFmtId="174" fontId="0" fillId="15" borderId="106" xfId="0" applyNumberFormat="1" applyFill="1" applyBorder="1" applyAlignment="1">
      <alignment horizontal="center"/>
    </xf>
    <xf numFmtId="174" fontId="0" fillId="15" borderId="107" xfId="0" applyNumberFormat="1" applyFill="1" applyBorder="1" applyAlignment="1">
      <alignment horizontal="center"/>
    </xf>
    <xf numFmtId="174" fontId="3" fillId="14" borderId="82" xfId="0" applyNumberFormat="1" applyFont="1" applyFill="1" applyBorder="1" applyAlignment="1">
      <alignment horizontal="center" vertical="center"/>
    </xf>
    <xf numFmtId="174" fontId="3" fillId="14" borderId="0" xfId="0" applyNumberFormat="1" applyFont="1" applyFill="1" applyAlignment="1">
      <alignment horizontal="center" vertical="center"/>
    </xf>
    <xf numFmtId="174" fontId="3" fillId="14" borderId="83" xfId="0" applyNumberFormat="1" applyFont="1" applyFill="1" applyBorder="1" applyAlignment="1">
      <alignment horizontal="center" vertical="center"/>
    </xf>
    <xf numFmtId="174" fontId="3" fillId="13" borderId="82" xfId="0" applyNumberFormat="1" applyFont="1" applyFill="1" applyBorder="1" applyAlignment="1">
      <alignment horizontal="center" vertical="center"/>
    </xf>
    <xf numFmtId="174" fontId="3" fillId="13" borderId="0" xfId="0" applyNumberFormat="1" applyFont="1" applyFill="1" applyAlignment="1">
      <alignment horizontal="center" vertical="center"/>
    </xf>
    <xf numFmtId="174" fontId="3" fillId="13" borderId="83" xfId="0" applyNumberFormat="1" applyFont="1" applyFill="1" applyBorder="1" applyAlignment="1">
      <alignment horizontal="center" vertical="center"/>
    </xf>
    <xf numFmtId="0" fontId="7" fillId="0" borderId="108" xfId="0" applyFont="1" applyBorder="1" applyAlignment="1" applyProtection="1">
      <alignment horizontal="center"/>
      <protection hidden="1"/>
    </xf>
    <xf numFmtId="0" fontId="7" fillId="0" borderId="108" xfId="0" applyFont="1" applyBorder="1" applyAlignment="1" applyProtection="1">
      <alignment horizontal="left"/>
      <protection hidden="1"/>
    </xf>
    <xf numFmtId="174" fontId="2" fillId="21" borderId="91" xfId="0" applyNumberFormat="1" applyFont="1" applyFill="1" applyBorder="1" applyAlignment="1">
      <alignment horizontal="center" vertical="center" wrapText="1"/>
    </xf>
    <xf numFmtId="174" fontId="2" fillId="21" borderId="99" xfId="0" applyNumberFormat="1" applyFont="1" applyFill="1" applyBorder="1" applyAlignment="1">
      <alignment horizontal="center" vertical="center" wrapText="1"/>
    </xf>
    <xf numFmtId="174" fontId="2" fillId="21" borderId="101" xfId="0" applyNumberFormat="1" applyFont="1" applyFill="1" applyBorder="1" applyAlignment="1">
      <alignment horizontal="center" vertical="center" wrapText="1"/>
    </xf>
    <xf numFmtId="174" fontId="2" fillId="3" borderId="91" xfId="0" applyNumberFormat="1" applyFont="1" applyFill="1" applyBorder="1" applyAlignment="1">
      <alignment horizontal="center" vertical="center" wrapText="1"/>
    </xf>
    <xf numFmtId="174" fontId="2" fillId="3" borderId="99" xfId="0" applyNumberFormat="1" applyFont="1" applyFill="1" applyBorder="1" applyAlignment="1">
      <alignment horizontal="center" vertical="center" wrapText="1"/>
    </xf>
    <xf numFmtId="174" fontId="2" fillId="3" borderId="101" xfId="0" applyNumberFormat="1" applyFont="1" applyFill="1" applyBorder="1" applyAlignment="1">
      <alignment horizontal="center" vertical="center" wrapText="1"/>
    </xf>
    <xf numFmtId="0" fontId="3" fillId="0" borderId="44" xfId="0" applyFont="1" applyBorder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0" fontId="4" fillId="0" borderId="0" xfId="0" applyFont="1"/>
    <xf numFmtId="0" fontId="18" fillId="0" borderId="0" xfId="0" applyFont="1" applyProtection="1">
      <protection hidden="1"/>
    </xf>
    <xf numFmtId="164" fontId="12" fillId="0" borderId="11" xfId="0" applyNumberFormat="1" applyFont="1" applyBorder="1" applyAlignment="1" applyProtection="1">
      <alignment horizontal="center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167" fontId="23" fillId="0" borderId="48" xfId="0" applyNumberFormat="1" applyFont="1" applyBorder="1" applyAlignment="1" applyProtection="1">
      <alignment horizontal="center"/>
      <protection hidden="1"/>
    </xf>
    <xf numFmtId="167" fontId="16" fillId="0" borderId="4" xfId="0" applyNumberFormat="1" applyFont="1" applyBorder="1" applyAlignment="1" applyProtection="1">
      <alignment horizontal="center"/>
      <protection hidden="1"/>
    </xf>
    <xf numFmtId="167" fontId="4" fillId="0" borderId="48" xfId="0" applyNumberFormat="1" applyFont="1" applyBorder="1" applyAlignment="1" applyProtection="1">
      <alignment horizontal="center"/>
      <protection hidden="1"/>
    </xf>
    <xf numFmtId="167" fontId="16" fillId="0" borderId="1" xfId="0" applyNumberFormat="1" applyFont="1" applyBorder="1" applyAlignment="1" applyProtection="1">
      <alignment horizontal="center"/>
      <protection hidden="1"/>
    </xf>
    <xf numFmtId="2" fontId="4" fillId="0" borderId="71" xfId="0" applyNumberFormat="1" applyFont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2" fontId="16" fillId="0" borderId="4" xfId="0" applyNumberFormat="1" applyFont="1" applyBorder="1" applyAlignment="1" applyProtection="1">
      <alignment horizontal="center"/>
      <protection hidden="1"/>
    </xf>
    <xf numFmtId="167" fontId="4" fillId="0" borderId="53" xfId="0" applyNumberFormat="1" applyFont="1" applyBorder="1" applyAlignment="1" applyProtection="1">
      <alignment horizontal="center"/>
      <protection hidden="1"/>
    </xf>
    <xf numFmtId="181" fontId="4" fillId="0" borderId="109" xfId="0" applyNumberFormat="1" applyFont="1" applyBorder="1" applyAlignment="1" applyProtection="1">
      <alignment horizontal="center"/>
      <protection hidden="1"/>
    </xf>
    <xf numFmtId="0" fontId="18" fillId="0" borderId="110" xfId="0" applyFont="1" applyBorder="1" applyAlignment="1" applyProtection="1">
      <alignment horizontal="center" vertical="center" wrapText="1"/>
      <protection hidden="1"/>
    </xf>
    <xf numFmtId="2" fontId="18" fillId="0" borderId="0" xfId="0" applyNumberFormat="1" applyFont="1" applyAlignment="1" applyProtection="1">
      <alignment horizontal="right"/>
      <protection hidden="1"/>
    </xf>
    <xf numFmtId="164" fontId="18" fillId="0" borderId="0" xfId="0" applyNumberFormat="1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24" fillId="0" borderId="32" xfId="0" applyFont="1" applyBorder="1" applyAlignment="1" applyProtection="1">
      <alignment horizontal="center" vertical="center"/>
      <protection hidden="1"/>
    </xf>
    <xf numFmtId="166" fontId="4" fillId="0" borderId="32" xfId="0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 applyProtection="1">
      <alignment horizontal="center" vertical="center"/>
      <protection hidden="1"/>
    </xf>
    <xf numFmtId="164" fontId="26" fillId="0" borderId="32" xfId="0" applyNumberFormat="1" applyFont="1" applyBorder="1" applyAlignment="1" applyProtection="1">
      <alignment horizontal="center"/>
      <protection hidden="1"/>
    </xf>
    <xf numFmtId="2" fontId="23" fillId="0" borderId="48" xfId="0" applyNumberFormat="1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12" fillId="0" borderId="42" xfId="0" applyFont="1" applyBorder="1" applyAlignment="1">
      <alignment vertical="center" wrapText="1"/>
    </xf>
    <xf numFmtId="0" fontId="12" fillId="0" borderId="4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vertical="center"/>
    </xf>
    <xf numFmtId="0" fontId="16" fillId="0" borderId="0" xfId="0" applyFont="1" applyProtection="1">
      <protection hidden="1"/>
    </xf>
    <xf numFmtId="0" fontId="0" fillId="23" borderId="77" xfId="0" applyFill="1" applyBorder="1" applyAlignment="1">
      <alignment horizontal="center" vertical="center" wrapText="1"/>
    </xf>
    <xf numFmtId="0" fontId="0" fillId="23" borderId="78" xfId="0" applyFill="1" applyBorder="1" applyAlignment="1">
      <alignment horizontal="center" vertical="center" wrapText="1"/>
    </xf>
    <xf numFmtId="0" fontId="0" fillId="2" borderId="77" xfId="0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7E0021"/>
      <rgbColor rgb="00008000"/>
      <rgbColor rgb="00280099"/>
      <rgbColor rgb="00996633"/>
      <rgbColor rgb="00800080"/>
      <rgbColor rgb="0047B8B8"/>
      <rgbColor rgb="00B3B3B3"/>
      <rgbColor rgb="007DA647"/>
      <rgbColor rgb="009966CC"/>
      <rgbColor rgb="00993366"/>
      <rgbColor rgb="00FFFFCC"/>
      <rgbColor rgb="00CCFFFF"/>
      <rgbColor rgb="004700B8"/>
      <rgbColor rgb="00FF6633"/>
      <rgbColor rgb="000047FF"/>
      <rgbColor rgb="00CCCCFF"/>
      <rgbColor rgb="00000080"/>
      <rgbColor rgb="00FF00FF"/>
      <rgbColor rgb="00E6FF00"/>
      <rgbColor rgb="003DEB3D"/>
      <rgbColor rgb="00800080"/>
      <rgbColor rgb="00800000"/>
      <rgbColor rgb="0033CC66"/>
      <rgbColor rgb="000000FF"/>
      <rgbColor rgb="000099FF"/>
      <rgbColor rgb="00CCFFFF"/>
      <rgbColor rgb="00CCFFCC"/>
      <rgbColor rgb="00E6E64C"/>
      <rgbColor rgb="0099CCFF"/>
      <rgbColor rgb="00FF99CC"/>
      <rgbColor rgb="00CC99FF"/>
      <rgbColor rgb="00FFCC99"/>
      <rgbColor rgb="003366FF"/>
      <rgbColor rgb="0023B8DC"/>
      <rgbColor rgb="0094BD5E"/>
      <rgbColor rgb="00FFCC00"/>
      <rgbColor rgb="00FF950E"/>
      <rgbColor rgb="00FF6600"/>
      <rgbColor rgb="00666666"/>
      <rgbColor rgb="00999999"/>
      <rgbColor rgb="00004586"/>
      <rgbColor rgb="0033A3A3"/>
      <rgbColor rgb="00003300"/>
      <rgbColor rgb="00314004"/>
      <rgbColor rgb="00FF420E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Gross Surplus / Deficit on COP Clean Yield</a:t>
            </a:r>
          </a:p>
        </c:rich>
      </c:tx>
      <c:layout>
        <c:manualLayout>
          <c:xMode val="edge"/>
          <c:yMode val="edge"/>
          <c:x val="0.27109287543876293"/>
          <c:y val="0.1341511426925292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302001008031"/>
          <c:y val="0.32318193753269353"/>
          <c:w val="0.65212895455222764"/>
          <c:h val="0.5244084269398423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3DEB3D"/>
            </a:solidFill>
            <a:ln w="25400">
              <a:noFill/>
            </a:ln>
          </c:spPr>
          <c:invertIfNegative val="0"/>
          <c:cat>
            <c:numRef>
              <c:f>Graphs!$AR$14:$AR$34</c:f>
              <c:numCache>
                <c:formatCode>0</c:formatCode>
                <c:ptCount val="21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  <c:pt idx="3">
                  <c:v>275</c:v>
                </c:pt>
                <c:pt idx="4">
                  <c:v>300</c:v>
                </c:pt>
                <c:pt idx="5">
                  <c:v>325</c:v>
                </c:pt>
                <c:pt idx="6">
                  <c:v>350</c:v>
                </c:pt>
                <c:pt idx="7">
                  <c:v>375</c:v>
                </c:pt>
                <c:pt idx="8">
                  <c:v>400</c:v>
                </c:pt>
                <c:pt idx="9">
                  <c:v>425</c:v>
                </c:pt>
                <c:pt idx="10">
                  <c:v>450</c:v>
                </c:pt>
                <c:pt idx="11">
                  <c:v>475</c:v>
                </c:pt>
                <c:pt idx="12">
                  <c:v>500</c:v>
                </c:pt>
                <c:pt idx="13">
                  <c:v>525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625</c:v>
                </c:pt>
                <c:pt idx="18">
                  <c:v>650</c:v>
                </c:pt>
                <c:pt idx="19">
                  <c:v>675</c:v>
                </c:pt>
                <c:pt idx="20">
                  <c:v>700</c:v>
                </c:pt>
              </c:numCache>
            </c:numRef>
          </c:cat>
          <c:val>
            <c:numRef>
              <c:f>Graphs!$AW$14:$AW$34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5-4E1C-BC07-12B5520506F9}"/>
            </c:ext>
          </c:extLst>
        </c:ser>
        <c:ser>
          <c:idx val="1"/>
          <c:order val="1"/>
          <c:spPr>
            <a:solidFill>
              <a:srgbClr val="7E0021"/>
            </a:solidFill>
            <a:ln w="25400">
              <a:noFill/>
            </a:ln>
          </c:spPr>
          <c:invertIfNegative val="0"/>
          <c:cat>
            <c:numRef>
              <c:f>Graphs!$AR$14:$AR$34</c:f>
              <c:numCache>
                <c:formatCode>0</c:formatCode>
                <c:ptCount val="21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  <c:pt idx="3">
                  <c:v>275</c:v>
                </c:pt>
                <c:pt idx="4">
                  <c:v>300</c:v>
                </c:pt>
                <c:pt idx="5">
                  <c:v>325</c:v>
                </c:pt>
                <c:pt idx="6">
                  <c:v>350</c:v>
                </c:pt>
                <c:pt idx="7">
                  <c:v>375</c:v>
                </c:pt>
                <c:pt idx="8">
                  <c:v>400</c:v>
                </c:pt>
                <c:pt idx="9">
                  <c:v>425</c:v>
                </c:pt>
                <c:pt idx="10">
                  <c:v>450</c:v>
                </c:pt>
                <c:pt idx="11">
                  <c:v>475</c:v>
                </c:pt>
                <c:pt idx="12">
                  <c:v>500</c:v>
                </c:pt>
                <c:pt idx="13">
                  <c:v>525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625</c:v>
                </c:pt>
                <c:pt idx="18">
                  <c:v>650</c:v>
                </c:pt>
                <c:pt idx="19">
                  <c:v>675</c:v>
                </c:pt>
                <c:pt idx="20">
                  <c:v>700</c:v>
                </c:pt>
              </c:numCache>
            </c:numRef>
          </c:cat>
          <c:val>
            <c:numRef>
              <c:f>Graphs!$AX$14:$AX$34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5-4E1C-BC07-12B552050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18593128"/>
        <c:axId val="1"/>
      </c:barChart>
      <c:catAx>
        <c:axId val="6185931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3175">
            <a:solidFill>
              <a:srgbClr val="B3B3B3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Deficit  -  Gross COP $   -  Surplus</a:t>
                </a:r>
              </a:p>
            </c:rich>
          </c:tx>
          <c:layout>
            <c:manualLayout>
              <c:xMode val="edge"/>
              <c:yMode val="edge"/>
              <c:x val="0.11446146791891977"/>
              <c:y val="0.2713507457909225"/>
            </c:manualLayout>
          </c:layout>
          <c:overlay val="0"/>
          <c:spPr>
            <a:noFill/>
            <a:ln w="25400">
              <a:noFill/>
            </a:ln>
          </c:spPr>
        </c:title>
        <c:numFmt formatCode="[$$-C09]#,##0;[Red]\-[$$-C09]#,##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593128"/>
        <c:crosses val="autoZero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COP/HA and MARGIN ON COP/HA</a:t>
            </a:r>
          </a:p>
        </c:rich>
      </c:tx>
      <c:layout>
        <c:manualLayout>
          <c:xMode val="edge"/>
          <c:yMode val="edge"/>
          <c:x val="0.35499583700073745"/>
          <c:y val="0.155714428430010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67804475692783"/>
          <c:y val="0.34603191812154904"/>
          <c:w val="0.66618365656838718"/>
          <c:h val="0.4982859620950306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4586"/>
              </a:solidFill>
              <a:prstDash val="solid"/>
            </a:ln>
          </c:spPr>
          <c:marker>
            <c:symbol val="none"/>
          </c:marker>
          <c:cat>
            <c:numRef>
              <c:f>Graphs!$AR$14:$AR$34</c:f>
              <c:numCache>
                <c:formatCode>0</c:formatCode>
                <c:ptCount val="21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  <c:pt idx="3">
                  <c:v>275</c:v>
                </c:pt>
                <c:pt idx="4">
                  <c:v>300</c:v>
                </c:pt>
                <c:pt idx="5">
                  <c:v>325</c:v>
                </c:pt>
                <c:pt idx="6">
                  <c:v>350</c:v>
                </c:pt>
                <c:pt idx="7">
                  <c:v>375</c:v>
                </c:pt>
                <c:pt idx="8">
                  <c:v>400</c:v>
                </c:pt>
                <c:pt idx="9">
                  <c:v>425</c:v>
                </c:pt>
                <c:pt idx="10">
                  <c:v>450</c:v>
                </c:pt>
                <c:pt idx="11">
                  <c:v>475</c:v>
                </c:pt>
                <c:pt idx="12">
                  <c:v>500</c:v>
                </c:pt>
                <c:pt idx="13">
                  <c:v>525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625</c:v>
                </c:pt>
                <c:pt idx="18">
                  <c:v>650</c:v>
                </c:pt>
                <c:pt idx="19">
                  <c:v>675</c:v>
                </c:pt>
                <c:pt idx="20">
                  <c:v>700</c:v>
                </c:pt>
              </c:numCache>
            </c:numRef>
          </c:cat>
          <c:val>
            <c:numRef>
              <c:f>Graphs!$AS$14:$AS$34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68-4CC8-B7FE-D406B9C9140C}"/>
            </c:ext>
          </c:extLst>
        </c:ser>
        <c:ser>
          <c:idx val="1"/>
          <c:order val="1"/>
          <c:spPr>
            <a:ln w="25400">
              <a:solidFill>
                <a:srgbClr val="FF420E"/>
              </a:solidFill>
              <a:prstDash val="solid"/>
            </a:ln>
          </c:spPr>
          <c:marker>
            <c:symbol val="none"/>
          </c:marker>
          <c:cat>
            <c:numRef>
              <c:f>Graphs!$AR$14:$AR$34</c:f>
              <c:numCache>
                <c:formatCode>0</c:formatCode>
                <c:ptCount val="21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  <c:pt idx="3">
                  <c:v>275</c:v>
                </c:pt>
                <c:pt idx="4">
                  <c:v>300</c:v>
                </c:pt>
                <c:pt idx="5">
                  <c:v>325</c:v>
                </c:pt>
                <c:pt idx="6">
                  <c:v>350</c:v>
                </c:pt>
                <c:pt idx="7">
                  <c:v>375</c:v>
                </c:pt>
                <c:pt idx="8">
                  <c:v>400</c:v>
                </c:pt>
                <c:pt idx="9">
                  <c:v>425</c:v>
                </c:pt>
                <c:pt idx="10">
                  <c:v>450</c:v>
                </c:pt>
                <c:pt idx="11">
                  <c:v>475</c:v>
                </c:pt>
                <c:pt idx="12">
                  <c:v>500</c:v>
                </c:pt>
                <c:pt idx="13">
                  <c:v>525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625</c:v>
                </c:pt>
                <c:pt idx="18">
                  <c:v>650</c:v>
                </c:pt>
                <c:pt idx="19">
                  <c:v>675</c:v>
                </c:pt>
                <c:pt idx="20">
                  <c:v>700</c:v>
                </c:pt>
              </c:numCache>
            </c:numRef>
          </c:cat>
          <c:val>
            <c:numRef>
              <c:f>Graphs!$AV$14:$AV$34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68-4CC8-B7FE-D406B9C9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589888"/>
        <c:axId val="1"/>
      </c:lineChart>
      <c:catAx>
        <c:axId val="618589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3175">
            <a:solidFill>
              <a:srgbClr val="6666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MARGIN ON COP/HA     COP $ / HA</a:t>
                </a:r>
              </a:p>
            </c:rich>
          </c:tx>
          <c:layout>
            <c:manualLayout>
              <c:xMode val="edge"/>
              <c:yMode val="edge"/>
              <c:x val="0.12084956903045729"/>
              <c:y val="0.21088811995386389"/>
            </c:manualLayout>
          </c:layout>
          <c:overlay val="0"/>
          <c:spPr>
            <a:noFill/>
            <a:ln w="25400">
              <a:noFill/>
            </a:ln>
          </c:spPr>
        </c:title>
        <c:numFmt formatCode="[$$-C09]#,##0;[Red]\-[$$-C09]#,##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589888"/>
        <c:crosses val="autoZero"/>
        <c:crossBetween val="midCat"/>
      </c:valAx>
      <c:spPr>
        <a:noFill/>
        <a:ln w="3175">
          <a:solidFill>
            <a:srgbClr val="999999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$/kg to cover COP vs Yield Clean Seed</a:t>
            </a:r>
          </a:p>
        </c:rich>
      </c:tx>
      <c:layout>
        <c:manualLayout>
          <c:xMode val="edge"/>
          <c:yMode val="edge"/>
          <c:x val="0.32025152445068233"/>
          <c:y val="0.1157935258092738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638066973671278"/>
          <c:y val="0.33685362362408311"/>
          <c:w val="0.68280048246918601"/>
          <c:h val="0.47019151630861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FF420E"/>
              </a:solidFill>
              <a:prstDash val="solid"/>
            </a:ln>
          </c:spPr>
          <c:marker>
            <c:symbol val="none"/>
          </c:marker>
          <c:cat>
            <c:numRef>
              <c:f>Graphs!$AR$14:$AR$34</c:f>
              <c:numCache>
                <c:formatCode>0</c:formatCode>
                <c:ptCount val="21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  <c:pt idx="3">
                  <c:v>275</c:v>
                </c:pt>
                <c:pt idx="4">
                  <c:v>300</c:v>
                </c:pt>
                <c:pt idx="5">
                  <c:v>325</c:v>
                </c:pt>
                <c:pt idx="6">
                  <c:v>350</c:v>
                </c:pt>
                <c:pt idx="7">
                  <c:v>375</c:v>
                </c:pt>
                <c:pt idx="8">
                  <c:v>400</c:v>
                </c:pt>
                <c:pt idx="9">
                  <c:v>425</c:v>
                </c:pt>
                <c:pt idx="10">
                  <c:v>450</c:v>
                </c:pt>
                <c:pt idx="11">
                  <c:v>475</c:v>
                </c:pt>
                <c:pt idx="12">
                  <c:v>500</c:v>
                </c:pt>
                <c:pt idx="13">
                  <c:v>525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625</c:v>
                </c:pt>
                <c:pt idx="18">
                  <c:v>650</c:v>
                </c:pt>
                <c:pt idx="19">
                  <c:v>675</c:v>
                </c:pt>
                <c:pt idx="20">
                  <c:v>700</c:v>
                </c:pt>
              </c:numCache>
            </c:numRef>
          </c:cat>
          <c:val>
            <c:numRef>
              <c:f>Graphs!$AT$14:$AT$34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A7-4A13-A8A5-BC830C537EC3}"/>
            </c:ext>
          </c:extLst>
        </c:ser>
        <c:ser>
          <c:idx val="1"/>
          <c:order val="1"/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Graphs!$AR$14:$AR$34</c:f>
              <c:numCache>
                <c:formatCode>0</c:formatCode>
                <c:ptCount val="21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  <c:pt idx="3">
                  <c:v>275</c:v>
                </c:pt>
                <c:pt idx="4">
                  <c:v>300</c:v>
                </c:pt>
                <c:pt idx="5">
                  <c:v>325</c:v>
                </c:pt>
                <c:pt idx="6">
                  <c:v>350</c:v>
                </c:pt>
                <c:pt idx="7">
                  <c:v>375</c:v>
                </c:pt>
                <c:pt idx="8">
                  <c:v>400</c:v>
                </c:pt>
                <c:pt idx="9">
                  <c:v>425</c:v>
                </c:pt>
                <c:pt idx="10">
                  <c:v>450</c:v>
                </c:pt>
                <c:pt idx="11">
                  <c:v>475</c:v>
                </c:pt>
                <c:pt idx="12">
                  <c:v>500</c:v>
                </c:pt>
                <c:pt idx="13">
                  <c:v>525</c:v>
                </c:pt>
                <c:pt idx="14">
                  <c:v>550</c:v>
                </c:pt>
                <c:pt idx="15">
                  <c:v>575</c:v>
                </c:pt>
                <c:pt idx="16">
                  <c:v>600</c:v>
                </c:pt>
                <c:pt idx="17">
                  <c:v>625</c:v>
                </c:pt>
                <c:pt idx="18">
                  <c:v>650</c:v>
                </c:pt>
                <c:pt idx="19">
                  <c:v>675</c:v>
                </c:pt>
                <c:pt idx="20">
                  <c:v>700</c:v>
                </c:pt>
              </c:numCache>
            </c:numRef>
          </c:cat>
          <c:val>
            <c:numRef>
              <c:f>Graphs!$AU$14:$AU$34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0A7-4A13-A8A5-BC830C53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596008"/>
        <c:axId val="1"/>
      </c:lineChart>
      <c:catAx>
        <c:axId val="618596008"/>
        <c:scaling>
          <c:orientation val="minMax"/>
        </c:scaling>
        <c:delete val="0"/>
        <c:axPos val="b"/>
        <c:minorGridlines>
          <c:spPr>
            <a:ln w="3175">
              <a:solidFill>
                <a:srgbClr val="B3B3B3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YIELD</a:t>
                </a:r>
              </a:p>
            </c:rich>
          </c:tx>
          <c:layout>
            <c:manualLayout>
              <c:xMode val="edge"/>
              <c:yMode val="edge"/>
              <c:x val="0.50907914456312298"/>
              <c:y val="0.90880287332504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Av$kg on COP and  $ / kg vs Yield/ha</a:t>
                </a:r>
              </a:p>
            </c:rich>
          </c:tx>
          <c:layout>
            <c:manualLayout>
              <c:xMode val="edge"/>
              <c:yMode val="edge"/>
              <c:x val="8.0062960407894637E-2"/>
              <c:y val="0.273693419901459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18596008"/>
        <c:crosses val="autoZero"/>
        <c:crossBetween val="midCat"/>
      </c:valAx>
      <c:spPr>
        <a:noFill/>
        <a:ln w="3175">
          <a:solidFill>
            <a:srgbClr val="999999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3429000</xdr:rowOff>
    </xdr:from>
    <xdr:to>
      <xdr:col>7</xdr:col>
      <xdr:colOff>542925</xdr:colOff>
      <xdr:row>34</xdr:row>
      <xdr:rowOff>6858000</xdr:rowOff>
    </xdr:to>
    <xdr:graphicFrame macro="">
      <xdr:nvGraphicFramePr>
        <xdr:cNvPr id="6181" name="Chart 1">
          <a:extLst>
            <a:ext uri="{FF2B5EF4-FFF2-40B4-BE49-F238E27FC236}">
              <a16:creationId xmlns:a16="http://schemas.microsoft.com/office/drawing/2014/main" id="{DACE9A8C-9ED5-2632-D8AF-D8F0CA729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6858000</xdr:rowOff>
    </xdr:from>
    <xdr:to>
      <xdr:col>7</xdr:col>
      <xdr:colOff>523875</xdr:colOff>
      <xdr:row>52</xdr:row>
      <xdr:rowOff>14935200</xdr:rowOff>
    </xdr:to>
    <xdr:graphicFrame macro="">
      <xdr:nvGraphicFramePr>
        <xdr:cNvPr id="6182" name="Chart 2">
          <a:extLst>
            <a:ext uri="{FF2B5EF4-FFF2-40B4-BE49-F238E27FC236}">
              <a16:creationId xmlns:a16="http://schemas.microsoft.com/office/drawing/2014/main" id="{7F3CA866-3132-7031-69B4-5F1454888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</xdr:row>
      <xdr:rowOff>19050</xdr:rowOff>
    </xdr:from>
    <xdr:to>
      <xdr:col>7</xdr:col>
      <xdr:colOff>542925</xdr:colOff>
      <xdr:row>15</xdr:row>
      <xdr:rowOff>3429000</xdr:rowOff>
    </xdr:to>
    <xdr:graphicFrame macro="">
      <xdr:nvGraphicFramePr>
        <xdr:cNvPr id="6183" name="Chart 3">
          <a:extLst>
            <a:ext uri="{FF2B5EF4-FFF2-40B4-BE49-F238E27FC236}">
              <a16:creationId xmlns:a16="http://schemas.microsoft.com/office/drawing/2014/main" id="{C7999836-712F-106D-0B11-B0D8CEAEB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58</xdr:col>
      <xdr:colOff>514350</xdr:colOff>
      <xdr:row>186</xdr:row>
      <xdr:rowOff>57150</xdr:rowOff>
    </xdr:to>
    <xdr:pic>
      <xdr:nvPicPr>
        <xdr:cNvPr id="9325" name="Graphics 1">
          <a:extLst>
            <a:ext uri="{FF2B5EF4-FFF2-40B4-BE49-F238E27FC236}">
              <a16:creationId xmlns:a16="http://schemas.microsoft.com/office/drawing/2014/main" id="{EB0293AD-6958-8A39-8585-039FDA6CB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262800" cy="30175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514350</xdr:colOff>
      <xdr:row>186</xdr:row>
      <xdr:rowOff>57150</xdr:rowOff>
    </xdr:to>
    <xdr:pic>
      <xdr:nvPicPr>
        <xdr:cNvPr id="9326" name="Graphics 10">
          <a:extLst>
            <a:ext uri="{FF2B5EF4-FFF2-40B4-BE49-F238E27FC236}">
              <a16:creationId xmlns:a16="http://schemas.microsoft.com/office/drawing/2014/main" id="{EC17B4E4-A05D-0904-5AC8-4391FE5C7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262800" cy="30175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514350</xdr:colOff>
      <xdr:row>186</xdr:row>
      <xdr:rowOff>57150</xdr:rowOff>
    </xdr:to>
    <xdr:pic>
      <xdr:nvPicPr>
        <xdr:cNvPr id="9327" name="Graphics 11">
          <a:extLst>
            <a:ext uri="{FF2B5EF4-FFF2-40B4-BE49-F238E27FC236}">
              <a16:creationId xmlns:a16="http://schemas.microsoft.com/office/drawing/2014/main" id="{02B6DDB7-7FCA-F451-8F50-8D11F841C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262800" cy="30175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</xdr:col>
      <xdr:colOff>723900</xdr:colOff>
      <xdr:row>91</xdr:row>
      <xdr:rowOff>28575</xdr:rowOff>
    </xdr:from>
    <xdr:to>
      <xdr:col>75</xdr:col>
      <xdr:colOff>466725</xdr:colOff>
      <xdr:row>277</xdr:row>
      <xdr:rowOff>66675</xdr:rowOff>
    </xdr:to>
    <xdr:pic>
      <xdr:nvPicPr>
        <xdr:cNvPr id="9328" name="Graphics 25">
          <a:extLst>
            <a:ext uri="{FF2B5EF4-FFF2-40B4-BE49-F238E27FC236}">
              <a16:creationId xmlns:a16="http://schemas.microsoft.com/office/drawing/2014/main" id="{957A3143-279F-1B97-6314-5EC2BDC8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763750"/>
          <a:ext cx="45262800" cy="30156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752475</xdr:colOff>
      <xdr:row>94</xdr:row>
      <xdr:rowOff>85725</xdr:rowOff>
    </xdr:from>
    <xdr:to>
      <xdr:col>74</xdr:col>
      <xdr:colOff>495300</xdr:colOff>
      <xdr:row>280</xdr:row>
      <xdr:rowOff>123825</xdr:rowOff>
    </xdr:to>
    <xdr:pic>
      <xdr:nvPicPr>
        <xdr:cNvPr id="9329" name="Graphics 26">
          <a:extLst>
            <a:ext uri="{FF2B5EF4-FFF2-40B4-BE49-F238E27FC236}">
              <a16:creationId xmlns:a16="http://schemas.microsoft.com/office/drawing/2014/main" id="{14737DAF-539C-5661-94BD-4FF49B6F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5306675"/>
          <a:ext cx="45262800" cy="30156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133350</xdr:colOff>
      <xdr:row>1</xdr:row>
      <xdr:rowOff>85725</xdr:rowOff>
    </xdr:from>
    <xdr:to>
      <xdr:col>60</xdr:col>
      <xdr:colOff>647700</xdr:colOff>
      <xdr:row>187</xdr:row>
      <xdr:rowOff>133350</xdr:rowOff>
    </xdr:to>
    <xdr:pic>
      <xdr:nvPicPr>
        <xdr:cNvPr id="9330" name="Graphics 4">
          <a:extLst>
            <a:ext uri="{FF2B5EF4-FFF2-40B4-BE49-F238E27FC236}">
              <a16:creationId xmlns:a16="http://schemas.microsoft.com/office/drawing/2014/main" id="{71457535-CDE6-610E-7C0A-E8BD65F74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47650"/>
          <a:ext cx="45262800" cy="30165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2</xdr:row>
      <xdr:rowOff>57150</xdr:rowOff>
    </xdr:from>
    <xdr:to>
      <xdr:col>58</xdr:col>
      <xdr:colOff>609600</xdr:colOff>
      <xdr:row>188</xdr:row>
      <xdr:rowOff>104775</xdr:rowOff>
    </xdr:to>
    <xdr:pic>
      <xdr:nvPicPr>
        <xdr:cNvPr id="9331" name="Graphics 5">
          <a:extLst>
            <a:ext uri="{FF2B5EF4-FFF2-40B4-BE49-F238E27FC236}">
              <a16:creationId xmlns:a16="http://schemas.microsoft.com/office/drawing/2014/main" id="{DF73229D-AA06-FBFA-3638-5ABE6A496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0"/>
          <a:ext cx="45262800" cy="30165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95250</xdr:colOff>
      <xdr:row>3</xdr:row>
      <xdr:rowOff>66675</xdr:rowOff>
    </xdr:from>
    <xdr:to>
      <xdr:col>58</xdr:col>
      <xdr:colOff>609600</xdr:colOff>
      <xdr:row>189</xdr:row>
      <xdr:rowOff>104775</xdr:rowOff>
    </xdr:to>
    <xdr:pic>
      <xdr:nvPicPr>
        <xdr:cNvPr id="9332" name="Graphics 6">
          <a:extLst>
            <a:ext uri="{FF2B5EF4-FFF2-40B4-BE49-F238E27FC236}">
              <a16:creationId xmlns:a16="http://schemas.microsoft.com/office/drawing/2014/main" id="{542C7B64-7291-E7D7-06B5-2AA450C42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2450"/>
          <a:ext cx="45262800" cy="30156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4</xdr:row>
      <xdr:rowOff>66675</xdr:rowOff>
    </xdr:from>
    <xdr:to>
      <xdr:col>58</xdr:col>
      <xdr:colOff>647700</xdr:colOff>
      <xdr:row>190</xdr:row>
      <xdr:rowOff>104775</xdr:rowOff>
    </xdr:to>
    <xdr:pic>
      <xdr:nvPicPr>
        <xdr:cNvPr id="9333" name="Graphics 7">
          <a:extLst>
            <a:ext uri="{FF2B5EF4-FFF2-40B4-BE49-F238E27FC236}">
              <a16:creationId xmlns:a16="http://schemas.microsoft.com/office/drawing/2014/main" id="{B73871F2-A7D7-5C50-3671-637D0A825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14375"/>
          <a:ext cx="45262800" cy="30156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58</xdr:col>
      <xdr:colOff>514350</xdr:colOff>
      <xdr:row>186</xdr:row>
      <xdr:rowOff>57150</xdr:rowOff>
    </xdr:to>
    <xdr:pic>
      <xdr:nvPicPr>
        <xdr:cNvPr id="11277" name="Graphics 9">
          <a:extLst>
            <a:ext uri="{FF2B5EF4-FFF2-40B4-BE49-F238E27FC236}">
              <a16:creationId xmlns:a16="http://schemas.microsoft.com/office/drawing/2014/main" id="{BECEB325-10DD-4AF8-9823-C94006021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262800" cy="30175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47"/>
  <sheetViews>
    <sheetView topLeftCell="A31" zoomScale="86" zoomScaleNormal="86" zoomScaleSheetLayoutView="100" workbookViewId="0">
      <selection activeCell="E50" sqref="E50"/>
    </sheetView>
  </sheetViews>
  <sheetFormatPr defaultColWidth="11.5703125" defaultRowHeight="12.75" x14ac:dyDescent="0.2"/>
  <cols>
    <col min="1" max="1" width="25.140625" style="812" customWidth="1"/>
    <col min="2" max="2" width="27.7109375" style="2" customWidth="1"/>
    <col min="3" max="3" width="34.7109375" style="1" customWidth="1"/>
    <col min="4" max="4" width="2.7109375" style="1" customWidth="1"/>
    <col min="5" max="6" width="11.5703125" style="1"/>
    <col min="7" max="7" width="14" style="1" customWidth="1"/>
    <col min="8" max="8" width="13.140625" style="1" customWidth="1"/>
    <col min="9" max="9" width="11.5703125" style="1"/>
    <col min="10" max="10" width="16.28515625" style="1" customWidth="1"/>
    <col min="11" max="11" width="171.42578125" style="812" customWidth="1"/>
    <col min="12" max="12" width="29.5703125" style="1" customWidth="1"/>
    <col min="13" max="13" width="3.7109375" style="1" customWidth="1"/>
    <col min="14" max="14" width="6.42578125" style="1" customWidth="1"/>
    <col min="15" max="15" width="3" style="1" customWidth="1"/>
    <col min="16" max="16" width="11.5703125" style="1"/>
    <col min="17" max="17" width="3.28515625" style="1" customWidth="1"/>
    <col min="18" max="18" width="11.5703125" style="1"/>
    <col min="19" max="19" width="2.7109375" style="1" customWidth="1"/>
    <col min="20" max="20" width="11.5703125" style="3"/>
    <col min="21" max="21" width="3.28515625" style="3" customWidth="1"/>
    <col min="22" max="22" width="11.5703125" style="3"/>
    <col min="23" max="23" width="12.28515625" style="4" customWidth="1"/>
    <col min="24" max="25" width="11.5703125" style="4"/>
    <col min="26" max="16384" width="11.5703125" style="1"/>
  </cols>
  <sheetData>
    <row r="1" spans="1:11" s="1" customFormat="1" ht="18.600000000000001" customHeight="1" x14ac:dyDescent="0.2">
      <c r="A1" s="812"/>
      <c r="B1" s="813" t="s">
        <v>0</v>
      </c>
      <c r="C1" s="814"/>
      <c r="D1" s="814"/>
      <c r="E1" s="814"/>
      <c r="F1" s="814"/>
      <c r="G1" s="814"/>
      <c r="H1" s="814"/>
      <c r="I1" s="814"/>
      <c r="J1" s="815"/>
      <c r="K1" s="812"/>
    </row>
    <row r="2" spans="1:11" s="1" customFormat="1" x14ac:dyDescent="0.2">
      <c r="A2" s="812"/>
      <c r="B2" s="816" t="s">
        <v>1</v>
      </c>
      <c r="C2" s="817"/>
      <c r="D2" s="817"/>
      <c r="E2" s="817"/>
      <c r="F2" s="817"/>
      <c r="G2" s="817"/>
      <c r="H2" s="817"/>
      <c r="I2" s="817"/>
      <c r="J2" s="818"/>
      <c r="K2" s="812"/>
    </row>
    <row r="3" spans="1:11" s="1" customFormat="1" x14ac:dyDescent="0.2">
      <c r="A3" s="812"/>
      <c r="B3" s="816"/>
      <c r="C3" s="817"/>
      <c r="D3" s="817"/>
      <c r="E3" s="817"/>
      <c r="F3" s="817"/>
      <c r="G3" s="817"/>
      <c r="H3" s="817"/>
      <c r="I3" s="817"/>
      <c r="J3" s="818"/>
      <c r="K3" s="812"/>
    </row>
    <row r="4" spans="1:11" s="1" customFormat="1" ht="18.600000000000001" customHeight="1" x14ac:dyDescent="0.2">
      <c r="A4" s="812"/>
      <c r="B4" s="819" t="s">
        <v>2</v>
      </c>
      <c r="C4" s="820"/>
      <c r="D4" s="820"/>
      <c r="E4" s="820"/>
      <c r="F4" s="820"/>
      <c r="G4" s="820"/>
      <c r="H4" s="820"/>
      <c r="I4" s="820"/>
      <c r="J4" s="821"/>
      <c r="K4" s="812"/>
    </row>
    <row r="5" spans="1:11" s="1" customFormat="1" x14ac:dyDescent="0.2">
      <c r="A5" s="812"/>
      <c r="B5" s="822"/>
      <c r="C5" s="823"/>
      <c r="D5" s="823"/>
      <c r="E5" s="823"/>
      <c r="F5" s="823"/>
      <c r="G5" s="823"/>
      <c r="H5" s="823"/>
      <c r="I5" s="823"/>
      <c r="J5" s="824"/>
      <c r="K5" s="812"/>
    </row>
    <row r="6" spans="1:11" s="1" customFormat="1" ht="23.1" customHeight="1" x14ac:dyDescent="0.2">
      <c r="A6" s="812"/>
      <c r="B6" s="530" t="s">
        <v>3</v>
      </c>
      <c r="C6" s="531"/>
      <c r="D6" s="825">
        <f ca="1">NOW()</f>
        <v>45156.591538541667</v>
      </c>
      <c r="E6" s="826"/>
      <c r="F6" s="827"/>
      <c r="G6" s="828"/>
      <c r="H6" s="829"/>
      <c r="I6" s="829"/>
      <c r="J6" s="830"/>
      <c r="K6" s="812"/>
    </row>
    <row r="7" spans="1:11" s="1" customFormat="1" x14ac:dyDescent="0.2">
      <c r="A7" s="812"/>
      <c r="B7" s="831"/>
      <c r="C7" s="832"/>
      <c r="D7" s="832"/>
      <c r="E7" s="832"/>
      <c r="F7" s="832"/>
      <c r="G7" s="832"/>
      <c r="H7" s="832"/>
      <c r="I7" s="832"/>
      <c r="J7" s="833"/>
      <c r="K7" s="812"/>
    </row>
    <row r="8" spans="1:11" s="1" customFormat="1" ht="20.100000000000001" customHeight="1" x14ac:dyDescent="0.2">
      <c r="A8" s="812"/>
      <c r="B8" s="530" t="s">
        <v>4</v>
      </c>
      <c r="C8" s="834" t="s">
        <v>5</v>
      </c>
      <c r="D8" s="835"/>
      <c r="E8" s="835"/>
      <c r="F8" s="835"/>
      <c r="G8" s="835"/>
      <c r="H8" s="836"/>
      <c r="I8" s="828"/>
      <c r="J8" s="830"/>
      <c r="K8" s="812"/>
    </row>
    <row r="9" spans="1:11" s="1" customFormat="1" x14ac:dyDescent="0.2">
      <c r="A9" s="812"/>
      <c r="B9" s="837"/>
      <c r="C9" s="838"/>
      <c r="D9" s="838"/>
      <c r="E9" s="838"/>
      <c r="F9" s="838"/>
      <c r="G9" s="838"/>
      <c r="H9" s="838"/>
      <c r="I9" s="838"/>
      <c r="J9" s="839"/>
      <c r="K9" s="812"/>
    </row>
    <row r="10" spans="1:11" s="1" customFormat="1" x14ac:dyDescent="0.2">
      <c r="A10" s="812"/>
      <c r="B10" s="840" t="s">
        <v>6</v>
      </c>
      <c r="C10" s="5" t="s">
        <v>7</v>
      </c>
      <c r="D10" s="676"/>
      <c r="E10" s="532">
        <v>40</v>
      </c>
      <c r="F10" s="7" t="s">
        <v>8</v>
      </c>
      <c r="G10" s="15"/>
      <c r="H10" s="9">
        <f>SUM(E10*2.47105381)</f>
        <v>98.842152400000003</v>
      </c>
      <c r="I10" s="7" t="s">
        <v>9</v>
      </c>
      <c r="J10" s="13"/>
      <c r="K10" s="812"/>
    </row>
    <row r="11" spans="1:11" s="1" customFormat="1" x14ac:dyDescent="0.2">
      <c r="A11" s="812"/>
      <c r="B11" s="841"/>
      <c r="C11" s="11" t="s">
        <v>10</v>
      </c>
      <c r="D11" s="677"/>
      <c r="E11" s="533">
        <v>1</v>
      </c>
      <c r="F11" s="7"/>
      <c r="G11" s="12"/>
      <c r="H11" s="12"/>
      <c r="I11" s="7"/>
      <c r="J11" s="13"/>
      <c r="K11" s="812"/>
    </row>
    <row r="12" spans="1:11" s="1" customFormat="1" x14ac:dyDescent="0.2">
      <c r="A12" s="812"/>
      <c r="B12" s="841"/>
      <c r="C12" s="11" t="s">
        <v>11</v>
      </c>
      <c r="D12" s="677"/>
      <c r="E12" s="534">
        <v>40</v>
      </c>
      <c r="F12" s="7" t="s">
        <v>8</v>
      </c>
      <c r="G12" s="15"/>
      <c r="H12" s="9">
        <f>SUM(E12*2.47105381)</f>
        <v>98.842152400000003</v>
      </c>
      <c r="I12" s="7" t="s">
        <v>9</v>
      </c>
      <c r="J12" s="13"/>
      <c r="K12" s="812"/>
    </row>
    <row r="13" spans="1:11" s="1" customFormat="1" x14ac:dyDescent="0.2">
      <c r="A13" s="812"/>
      <c r="B13" s="841"/>
      <c r="C13" s="5" t="s">
        <v>12</v>
      </c>
      <c r="D13" s="677"/>
      <c r="E13" s="533">
        <v>1</v>
      </c>
      <c r="F13" s="15"/>
      <c r="G13" s="15"/>
      <c r="H13" s="9"/>
      <c r="I13" s="7"/>
      <c r="J13" s="13"/>
      <c r="K13" s="812"/>
    </row>
    <row r="14" spans="1:11" s="1" customFormat="1" ht="18.600000000000001" customHeight="1" x14ac:dyDescent="0.2">
      <c r="A14" s="812"/>
      <c r="B14" s="842"/>
      <c r="C14" s="680" t="s">
        <v>13</v>
      </c>
      <c r="D14" s="679"/>
      <c r="E14" s="681">
        <f>SUM(E12+E10)</f>
        <v>80</v>
      </c>
      <c r="F14" s="582"/>
      <c r="G14" s="581"/>
      <c r="H14" s="682">
        <f>SUM(E14*2.47105381)</f>
        <v>197.68430480000001</v>
      </c>
      <c r="I14" s="582" t="s">
        <v>9</v>
      </c>
      <c r="J14" s="558"/>
      <c r="K14" s="812"/>
    </row>
    <row r="15" spans="1:11" s="1" customFormat="1" x14ac:dyDescent="0.2">
      <c r="A15" s="812"/>
      <c r="B15" s="841" t="s">
        <v>14</v>
      </c>
      <c r="C15" s="11" t="s">
        <v>15</v>
      </c>
      <c r="D15" s="677"/>
      <c r="E15" s="534">
        <v>40</v>
      </c>
      <c r="F15" s="7" t="s">
        <v>8</v>
      </c>
      <c r="G15" s="15"/>
      <c r="H15" s="9">
        <f>SUM(E15*2.47105381)</f>
        <v>98.842152400000003</v>
      </c>
      <c r="I15" s="7" t="s">
        <v>9</v>
      </c>
      <c r="J15" s="13"/>
      <c r="K15" s="812"/>
    </row>
    <row r="16" spans="1:11" s="1" customFormat="1" x14ac:dyDescent="0.2">
      <c r="A16" s="812"/>
      <c r="B16" s="841"/>
      <c r="C16" s="11" t="s">
        <v>16</v>
      </c>
      <c r="D16" s="677"/>
      <c r="E16" s="533">
        <v>1</v>
      </c>
      <c r="F16" s="16"/>
      <c r="G16" s="12"/>
      <c r="H16" s="9"/>
      <c r="I16" s="7"/>
      <c r="J16" s="13"/>
      <c r="K16" s="812"/>
    </row>
    <row r="17" spans="1:11" s="1" customFormat="1" x14ac:dyDescent="0.2">
      <c r="A17" s="812"/>
      <c r="B17" s="841"/>
      <c r="C17" s="11" t="s">
        <v>17</v>
      </c>
      <c r="D17" s="677"/>
      <c r="E17" s="534">
        <v>40</v>
      </c>
      <c r="F17" s="7" t="s">
        <v>8</v>
      </c>
      <c r="G17" s="15"/>
      <c r="H17" s="9">
        <f>SUM(E17*2.47105381)</f>
        <v>98.842152400000003</v>
      </c>
      <c r="I17" s="7" t="s">
        <v>9</v>
      </c>
      <c r="J17" s="13"/>
      <c r="K17" s="812"/>
    </row>
    <row r="18" spans="1:11" s="1" customFormat="1" x14ac:dyDescent="0.2">
      <c r="A18" s="812"/>
      <c r="B18" s="841"/>
      <c r="C18" s="11" t="s">
        <v>18</v>
      </c>
      <c r="D18" s="677"/>
      <c r="E18" s="533">
        <v>1</v>
      </c>
      <c r="F18" s="15"/>
      <c r="G18" s="17">
        <f>SUM(E13+E11+E18+E16)</f>
        <v>4</v>
      </c>
      <c r="H18" s="9"/>
      <c r="I18" s="7"/>
      <c r="J18" s="13"/>
      <c r="K18" s="812"/>
    </row>
    <row r="19" spans="1:11" s="1" customFormat="1" ht="17.850000000000001" customHeight="1" x14ac:dyDescent="0.2">
      <c r="A19" s="812"/>
      <c r="B19" s="843"/>
      <c r="C19" s="680" t="s">
        <v>19</v>
      </c>
      <c r="D19" s="679"/>
      <c r="E19" s="684">
        <f>SUM(E17+E15)</f>
        <v>80</v>
      </c>
      <c r="F19" s="581"/>
      <c r="G19" s="606">
        <f>SUM(E14+E19)</f>
        <v>160</v>
      </c>
      <c r="H19" s="682">
        <f>SUM(E19*2.47105381)</f>
        <v>197.68430480000001</v>
      </c>
      <c r="I19" s="582" t="s">
        <v>9</v>
      </c>
      <c r="J19" s="558"/>
      <c r="K19" s="812"/>
    </row>
    <row r="20" spans="1:11" s="1" customFormat="1" ht="17.100000000000001" customHeight="1" x14ac:dyDescent="0.2">
      <c r="A20" s="812"/>
      <c r="B20" s="529" t="s">
        <v>20</v>
      </c>
      <c r="C20" s="559" t="s">
        <v>21</v>
      </c>
      <c r="D20" s="678"/>
      <c r="E20" s="683">
        <v>0</v>
      </c>
      <c r="F20" s="632"/>
      <c r="G20" s="15"/>
      <c r="H20" s="9">
        <f>SUM(E20*2.47105381)</f>
        <v>0</v>
      </c>
      <c r="I20" s="7" t="s">
        <v>9</v>
      </c>
      <c r="J20" s="547"/>
      <c r="K20" s="812"/>
    </row>
    <row r="21" spans="1:11" s="1" customFormat="1" ht="20.85" customHeight="1" x14ac:dyDescent="0.2">
      <c r="A21" s="812"/>
      <c r="B21" s="530" t="s">
        <v>22</v>
      </c>
      <c r="C21" s="553" t="s">
        <v>23</v>
      </c>
      <c r="D21" s="685"/>
      <c r="E21" s="554">
        <f>SUM(E15+E17+E10+E12+E20)</f>
        <v>160</v>
      </c>
      <c r="F21" s="562" t="s">
        <v>8</v>
      </c>
      <c r="G21" s="556"/>
      <c r="H21" s="557">
        <f>SUM(H15+H17+H10+H12)</f>
        <v>395.36860960000001</v>
      </c>
      <c r="I21" s="555" t="s">
        <v>9</v>
      </c>
      <c r="J21" s="558"/>
      <c r="K21" s="812"/>
    </row>
    <row r="22" spans="1:11" s="1" customFormat="1" x14ac:dyDescent="0.2">
      <c r="A22" s="812"/>
      <c r="B22" s="844" t="s">
        <v>24</v>
      </c>
      <c r="C22" s="569" t="s">
        <v>25</v>
      </c>
      <c r="D22" s="676"/>
      <c r="E22" s="567">
        <v>0</v>
      </c>
      <c r="F22" s="563"/>
      <c r="G22" s="15"/>
      <c r="H22" s="9"/>
      <c r="I22" s="7"/>
      <c r="J22" s="547"/>
      <c r="K22" s="812"/>
    </row>
    <row r="23" spans="1:11" s="1" customFormat="1" x14ac:dyDescent="0.2">
      <c r="A23" s="812"/>
      <c r="B23" s="845"/>
      <c r="C23" s="570" t="s">
        <v>26</v>
      </c>
      <c r="D23" s="677"/>
      <c r="E23" s="535">
        <v>2</v>
      </c>
      <c r="F23" s="563" t="s">
        <v>27</v>
      </c>
      <c r="G23" s="15"/>
      <c r="H23" s="9"/>
      <c r="I23" s="7"/>
      <c r="J23" s="547"/>
      <c r="K23" s="812"/>
    </row>
    <row r="24" spans="1:11" s="1" customFormat="1" x14ac:dyDescent="0.2">
      <c r="A24" s="812"/>
      <c r="B24" s="845"/>
      <c r="C24" s="570" t="s">
        <v>28</v>
      </c>
      <c r="D24" s="677"/>
      <c r="E24" s="536">
        <v>80</v>
      </c>
      <c r="F24" s="563"/>
      <c r="G24" s="15"/>
      <c r="H24" s="9"/>
      <c r="I24" s="7"/>
      <c r="J24" s="547"/>
      <c r="K24" s="812"/>
    </row>
    <row r="25" spans="1:11" s="1" customFormat="1" x14ac:dyDescent="0.2">
      <c r="A25" s="812"/>
      <c r="B25" s="845"/>
      <c r="C25" s="570" t="s">
        <v>29</v>
      </c>
      <c r="D25" s="677"/>
      <c r="E25" s="536">
        <v>1</v>
      </c>
      <c r="F25" s="563"/>
      <c r="G25" s="15"/>
      <c r="H25" s="9"/>
      <c r="I25" s="7"/>
      <c r="J25" s="547"/>
      <c r="K25" s="812"/>
    </row>
    <row r="26" spans="1:11" s="1" customFormat="1" x14ac:dyDescent="0.2">
      <c r="A26" s="812"/>
      <c r="B26" s="845"/>
      <c r="C26" s="570" t="s">
        <v>30</v>
      </c>
      <c r="D26" s="677"/>
      <c r="E26" s="536">
        <v>25</v>
      </c>
      <c r="F26" s="563" t="s">
        <v>31</v>
      </c>
      <c r="G26" s="15"/>
      <c r="H26" s="9"/>
      <c r="I26" s="7"/>
      <c r="J26" s="547"/>
      <c r="K26" s="812"/>
    </row>
    <row r="27" spans="1:11" s="1" customFormat="1" x14ac:dyDescent="0.2">
      <c r="A27" s="812"/>
      <c r="B27" s="845"/>
      <c r="C27" s="570" t="s">
        <v>32</v>
      </c>
      <c r="D27" s="678"/>
      <c r="E27" s="568">
        <v>0</v>
      </c>
      <c r="F27" s="563" t="s">
        <v>33</v>
      </c>
      <c r="G27" s="15"/>
      <c r="H27" s="9"/>
      <c r="I27" s="7"/>
      <c r="J27" s="547"/>
      <c r="K27" s="812"/>
    </row>
    <row r="28" spans="1:11" s="1" customFormat="1" x14ac:dyDescent="0.2">
      <c r="A28" s="812"/>
      <c r="B28" s="846"/>
      <c r="C28" s="571" t="s">
        <v>34</v>
      </c>
      <c r="D28" s="679"/>
      <c r="E28" s="566">
        <f>SUM(1-E27)</f>
        <v>1</v>
      </c>
      <c r="F28" s="564"/>
      <c r="G28" s="565"/>
      <c r="H28" s="550"/>
      <c r="I28" s="528"/>
      <c r="J28" s="551"/>
      <c r="K28" s="812"/>
    </row>
    <row r="29" spans="1:11" s="1" customFormat="1" x14ac:dyDescent="0.2">
      <c r="A29" s="812"/>
      <c r="B29" s="844" t="s">
        <v>35</v>
      </c>
      <c r="C29" s="539" t="s">
        <v>36</v>
      </c>
      <c r="D29" s="6"/>
      <c r="E29" s="567">
        <v>0</v>
      </c>
      <c r="F29" s="541"/>
      <c r="G29" s="542"/>
      <c r="H29" s="543"/>
      <c r="I29" s="544"/>
      <c r="J29" s="545"/>
      <c r="K29" s="812"/>
    </row>
    <row r="30" spans="1:11" s="1" customFormat="1" x14ac:dyDescent="0.2">
      <c r="A30" s="812"/>
      <c r="B30" s="847"/>
      <c r="C30" s="539" t="s">
        <v>37</v>
      </c>
      <c r="D30" s="6"/>
      <c r="E30" s="537">
        <v>2</v>
      </c>
      <c r="F30" s="546"/>
      <c r="G30" s="12"/>
      <c r="H30" s="9"/>
      <c r="I30" s="7"/>
      <c r="J30" s="547"/>
      <c r="K30" s="812"/>
    </row>
    <row r="31" spans="1:11" s="1" customFormat="1" x14ac:dyDescent="0.2">
      <c r="A31" s="812"/>
      <c r="B31" s="848"/>
      <c r="C31" s="540" t="s">
        <v>38</v>
      </c>
      <c r="D31" s="6"/>
      <c r="E31" s="538">
        <v>12</v>
      </c>
      <c r="F31" s="548"/>
      <c r="G31" s="549"/>
      <c r="H31" s="550"/>
      <c r="I31" s="528"/>
      <c r="J31" s="551"/>
      <c r="K31" s="812"/>
    </row>
    <row r="32" spans="1:11" s="1" customFormat="1" x14ac:dyDescent="0.2">
      <c r="A32" s="812"/>
      <c r="B32" s="822"/>
      <c r="C32" s="823"/>
      <c r="D32" s="823"/>
      <c r="E32" s="823"/>
      <c r="F32" s="823"/>
      <c r="G32" s="823"/>
      <c r="H32" s="823"/>
      <c r="I32" s="823"/>
      <c r="J32" s="824"/>
      <c r="K32" s="812"/>
    </row>
    <row r="33" spans="1:11" s="1" customFormat="1" x14ac:dyDescent="0.2">
      <c r="A33" s="812"/>
      <c r="B33" s="530" t="s">
        <v>39</v>
      </c>
      <c r="C33" s="603" t="s">
        <v>24</v>
      </c>
      <c r="D33" s="679"/>
      <c r="E33" s="595">
        <v>11</v>
      </c>
      <c r="F33" s="15" t="s">
        <v>40</v>
      </c>
      <c r="G33" s="591">
        <f>SUM(E14*E33)</f>
        <v>880</v>
      </c>
      <c r="H33" s="7"/>
      <c r="I33" s="15"/>
      <c r="J33" s="591"/>
      <c r="K33" s="812"/>
    </row>
    <row r="34" spans="1:11" s="1" customFormat="1" x14ac:dyDescent="0.2">
      <c r="A34" s="812"/>
      <c r="B34" s="849"/>
      <c r="C34" s="9" t="s">
        <v>41</v>
      </c>
      <c r="D34" s="677"/>
      <c r="E34" s="536">
        <v>450</v>
      </c>
      <c r="F34" s="7" t="s">
        <v>42</v>
      </c>
      <c r="G34" s="613"/>
      <c r="H34" s="9"/>
      <c r="I34" s="586">
        <f>IF(E11=0,E36,((E13/(E11+E13)))*E36)</f>
        <v>0</v>
      </c>
      <c r="J34" s="592">
        <f>IF(E35=0,0,(I34))</f>
        <v>0</v>
      </c>
      <c r="K34" s="812"/>
    </row>
    <row r="35" spans="1:11" s="1" customFormat="1" x14ac:dyDescent="0.2">
      <c r="A35" s="812"/>
      <c r="B35" s="849"/>
      <c r="C35" s="9" t="s">
        <v>43</v>
      </c>
      <c r="D35" s="686"/>
      <c r="E35" s="596">
        <v>0</v>
      </c>
      <c r="F35" s="7" t="s">
        <v>44</v>
      </c>
      <c r="G35" s="552">
        <v>0</v>
      </c>
      <c r="H35" s="7" t="s">
        <v>45</v>
      </c>
      <c r="I35" s="586">
        <f>IF(E13=0,E36,((E11/(E13+E11)))*E36)</f>
        <v>0</v>
      </c>
      <c r="J35" s="592">
        <f>IF(E35=0,0,(I35))</f>
        <v>0</v>
      </c>
      <c r="K35" s="812"/>
    </row>
    <row r="36" spans="1:11" s="1" customFormat="1" x14ac:dyDescent="0.2">
      <c r="A36" s="812"/>
      <c r="B36" s="849"/>
      <c r="C36" s="9" t="s">
        <v>46</v>
      </c>
      <c r="D36" s="686"/>
      <c r="E36" s="597">
        <v>0</v>
      </c>
      <c r="F36" s="7" t="s">
        <v>47</v>
      </c>
      <c r="G36" s="691">
        <f>IF(E14=0,0,(E35/E14))</f>
        <v>0</v>
      </c>
      <c r="H36" s="7" t="s">
        <v>48</v>
      </c>
      <c r="I36" s="587"/>
      <c r="J36" s="593"/>
      <c r="K36" s="812"/>
    </row>
    <row r="37" spans="1:11" s="1" customFormat="1" x14ac:dyDescent="0.2">
      <c r="A37" s="812"/>
      <c r="B37" s="849"/>
      <c r="C37" s="573" t="s">
        <v>49</v>
      </c>
      <c r="D37" s="677"/>
      <c r="E37" s="599">
        <v>9</v>
      </c>
      <c r="F37" s="22" t="s">
        <v>47</v>
      </c>
      <c r="G37" s="692">
        <f>SUM(E37*(E12+E10))</f>
        <v>720</v>
      </c>
      <c r="H37" s="12" t="s">
        <v>50</v>
      </c>
      <c r="I37" s="588"/>
      <c r="J37" s="594"/>
      <c r="K37" s="812"/>
    </row>
    <row r="38" spans="1:11" s="1" customFormat="1" x14ac:dyDescent="0.2">
      <c r="A38" s="812"/>
      <c r="B38" s="849"/>
      <c r="C38" s="602" t="s">
        <v>51</v>
      </c>
      <c r="D38" s="679"/>
      <c r="E38" s="595">
        <v>8</v>
      </c>
      <c r="F38" s="8" t="s">
        <v>40</v>
      </c>
      <c r="G38" s="693">
        <f>SUM(E19*E38)</f>
        <v>640</v>
      </c>
      <c r="H38" s="23"/>
      <c r="I38" s="589"/>
      <c r="J38" s="594"/>
      <c r="K38" s="812"/>
    </row>
    <row r="39" spans="1:11" s="1" customFormat="1" x14ac:dyDescent="0.2">
      <c r="A39" s="812"/>
      <c r="B39" s="849"/>
      <c r="C39" s="9" t="s">
        <v>52</v>
      </c>
      <c r="D39" s="677"/>
      <c r="E39" s="536">
        <v>180</v>
      </c>
      <c r="F39" s="7" t="s">
        <v>42</v>
      </c>
      <c r="G39" s="613"/>
      <c r="H39" s="12"/>
      <c r="I39" s="590"/>
      <c r="J39" s="594"/>
      <c r="K39" s="812"/>
    </row>
    <row r="40" spans="1:11" s="1" customFormat="1" x14ac:dyDescent="0.2">
      <c r="A40" s="812"/>
      <c r="B40" s="849"/>
      <c r="C40" s="9" t="s">
        <v>43</v>
      </c>
      <c r="D40" s="686"/>
      <c r="E40" s="536">
        <v>0</v>
      </c>
      <c r="F40" s="7" t="s">
        <v>44</v>
      </c>
      <c r="G40" s="552">
        <v>0</v>
      </c>
      <c r="H40" s="7" t="s">
        <v>45</v>
      </c>
      <c r="I40" s="586">
        <f>IF(E16=0,E41,((E18/(E16+E18)))*E41)</f>
        <v>0</v>
      </c>
      <c r="J40" s="594"/>
      <c r="K40" s="812"/>
    </row>
    <row r="41" spans="1:11" s="1" customFormat="1" x14ac:dyDescent="0.2">
      <c r="A41" s="812"/>
      <c r="B41" s="849"/>
      <c r="C41" s="9" t="s">
        <v>46</v>
      </c>
      <c r="D41" s="686"/>
      <c r="E41" s="597">
        <v>0</v>
      </c>
      <c r="F41" s="7"/>
      <c r="G41" s="691">
        <f>IF(E19=0,0,(E40/E19))</f>
        <v>0</v>
      </c>
      <c r="H41" s="12" t="s">
        <v>48</v>
      </c>
      <c r="I41" s="586">
        <f>IF(E18=0,E41,((E16/(E18+E16)))*E41)</f>
        <v>0</v>
      </c>
      <c r="J41" s="592">
        <f>IF(E40=0,0,(I40))</f>
        <v>0</v>
      </c>
      <c r="K41" s="812"/>
    </row>
    <row r="42" spans="1:11" s="1" customFormat="1" ht="12.75" customHeight="1" x14ac:dyDescent="0.2">
      <c r="A42" s="812"/>
      <c r="B42" s="849"/>
      <c r="C42" s="573" t="s">
        <v>49</v>
      </c>
      <c r="D42" s="677"/>
      <c r="E42" s="598">
        <v>4.5</v>
      </c>
      <c r="F42" s="7" t="s">
        <v>47</v>
      </c>
      <c r="G42" s="613">
        <f>SUM(E42*(E17+E15))</f>
        <v>360</v>
      </c>
      <c r="H42" s="24" t="s">
        <v>53</v>
      </c>
      <c r="I42" s="851" t="s">
        <v>54</v>
      </c>
      <c r="J42" s="592">
        <f>IF(E40=0,0,(I41))</f>
        <v>0</v>
      </c>
      <c r="K42" s="812"/>
    </row>
    <row r="43" spans="1:11" s="1" customFormat="1" x14ac:dyDescent="0.2">
      <c r="A43" s="812"/>
      <c r="B43" s="849"/>
      <c r="C43" s="20"/>
      <c r="D43" s="687"/>
      <c r="E43" s="600"/>
      <c r="F43" s="20"/>
      <c r="G43" s="600"/>
      <c r="H43" s="20" t="s">
        <v>55</v>
      </c>
      <c r="I43" s="851"/>
      <c r="J43" s="540" t="s">
        <v>56</v>
      </c>
      <c r="K43" s="812"/>
    </row>
    <row r="44" spans="1:11" s="1" customFormat="1" x14ac:dyDescent="0.2">
      <c r="A44" s="812"/>
      <c r="B44" s="850"/>
      <c r="C44" s="580" t="s">
        <v>57</v>
      </c>
      <c r="D44" s="581"/>
      <c r="E44" s="601">
        <f>SUM(G38+G33)</f>
        <v>1520</v>
      </c>
      <c r="F44" s="582" t="s">
        <v>44</v>
      </c>
      <c r="G44" s="694">
        <f>SUM(E44+E35+E40)</f>
        <v>1520</v>
      </c>
      <c r="H44" s="583">
        <f>SUM(G37+G42)+(I34*E12)+(I35*E10)+(I40*E17)+(I41*E15)</f>
        <v>1080</v>
      </c>
      <c r="I44" s="584">
        <f>SUM(G44-H44)</f>
        <v>440</v>
      </c>
      <c r="J44" s="585">
        <f>IF(E44=0,0,(H44/E44))</f>
        <v>0.71052631578947367</v>
      </c>
      <c r="K44" s="812"/>
    </row>
    <row r="45" spans="1:11" s="1" customFormat="1" x14ac:dyDescent="0.2">
      <c r="A45" s="812"/>
      <c r="B45" s="822"/>
      <c r="C45" s="823"/>
      <c r="D45" s="823"/>
      <c r="E45" s="823"/>
      <c r="F45" s="823"/>
      <c r="G45" s="823"/>
      <c r="H45" s="823"/>
      <c r="I45" s="823"/>
      <c r="J45" s="824"/>
      <c r="K45" s="812"/>
    </row>
    <row r="46" spans="1:11" x14ac:dyDescent="0.2">
      <c r="B46" s="530" t="s">
        <v>58</v>
      </c>
      <c r="C46" s="605"/>
      <c r="D46" s="605"/>
      <c r="E46" s="609" t="s">
        <v>59</v>
      </c>
      <c r="F46" s="581"/>
      <c r="G46" s="601" t="s">
        <v>60</v>
      </c>
      <c r="H46" s="606"/>
      <c r="I46" s="607"/>
      <c r="J46" s="608" t="s">
        <v>61</v>
      </c>
    </row>
    <row r="47" spans="1:11" x14ac:dyDescent="0.2">
      <c r="B47" s="849"/>
      <c r="C47" s="9" t="s">
        <v>62</v>
      </c>
      <c r="D47" s="676"/>
      <c r="E47" s="688"/>
      <c r="F47" s="15" t="s">
        <v>63</v>
      </c>
      <c r="G47" s="613">
        <f>Results!H5</f>
        <v>0</v>
      </c>
      <c r="H47" s="17"/>
      <c r="I47" s="577">
        <f>E51</f>
        <v>0</v>
      </c>
      <c r="J47" s="578">
        <f>IF(E14=0,0,(I47*G47))</f>
        <v>0</v>
      </c>
    </row>
    <row r="48" spans="1:11" x14ac:dyDescent="0.2">
      <c r="B48" s="849"/>
      <c r="C48" s="9" t="s">
        <v>64</v>
      </c>
      <c r="D48" s="677"/>
      <c r="E48" s="610"/>
      <c r="F48" s="15" t="s">
        <v>63</v>
      </c>
      <c r="G48" s="613">
        <f>Results!H6</f>
        <v>0</v>
      </c>
      <c r="H48" s="17"/>
      <c r="I48" s="577">
        <f>I47</f>
        <v>0</v>
      </c>
      <c r="J48" s="578">
        <f>IF(E19=0,0,(I48*G48))</f>
        <v>0</v>
      </c>
    </row>
    <row r="49" spans="1:11" x14ac:dyDescent="0.2">
      <c r="B49" s="849"/>
      <c r="C49" s="9" t="s">
        <v>65</v>
      </c>
      <c r="D49" s="677"/>
      <c r="E49" s="610">
        <v>0</v>
      </c>
      <c r="F49" s="15" t="s">
        <v>63</v>
      </c>
      <c r="G49" s="613">
        <f>Results!H7</f>
        <v>0</v>
      </c>
      <c r="H49" s="17"/>
      <c r="I49" s="577">
        <f>I47</f>
        <v>0</v>
      </c>
      <c r="J49" s="578">
        <f>IF(E20=0,0,(I49*G49))</f>
        <v>0</v>
      </c>
    </row>
    <row r="50" spans="1:11" x14ac:dyDescent="0.2">
      <c r="B50" s="849"/>
      <c r="C50" s="9" t="s">
        <v>66</v>
      </c>
      <c r="D50" s="677"/>
      <c r="E50" s="611">
        <v>0.2</v>
      </c>
      <c r="F50" s="15"/>
      <c r="G50" s="695">
        <f>SUM(G47:G49)</f>
        <v>0</v>
      </c>
      <c r="H50" s="577">
        <v>4.5</v>
      </c>
      <c r="I50" s="26">
        <f>SUM(H50*G48)</f>
        <v>0</v>
      </c>
      <c r="J50" s="579"/>
    </row>
    <row r="51" spans="1:11" x14ac:dyDescent="0.2">
      <c r="B51" s="849"/>
      <c r="C51" s="9" t="s">
        <v>67</v>
      </c>
      <c r="D51" s="678"/>
      <c r="E51" s="689"/>
      <c r="F51" s="15"/>
      <c r="G51" s="695"/>
      <c r="H51" s="577"/>
      <c r="I51" s="26"/>
      <c r="J51" s="579"/>
    </row>
    <row r="52" spans="1:11" x14ac:dyDescent="0.2">
      <c r="B52" s="852"/>
      <c r="C52" s="20"/>
      <c r="D52" s="20"/>
      <c r="E52" s="613"/>
      <c r="F52" s="15"/>
      <c r="G52" s="612"/>
      <c r="H52" s="15"/>
      <c r="I52" s="575"/>
      <c r="J52" s="614"/>
    </row>
    <row r="53" spans="1:11" s="1" customFormat="1" x14ac:dyDescent="0.2">
      <c r="A53" s="812"/>
      <c r="B53" s="822"/>
      <c r="C53" s="823"/>
      <c r="D53" s="823"/>
      <c r="E53" s="823"/>
      <c r="F53" s="823"/>
      <c r="G53" s="823"/>
      <c r="H53" s="823"/>
      <c r="I53" s="823"/>
      <c r="J53" s="824"/>
      <c r="K53" s="812"/>
    </row>
    <row r="54" spans="1:11" s="1" customFormat="1" x14ac:dyDescent="0.2">
      <c r="A54" s="812"/>
      <c r="B54" s="729" t="s">
        <v>160</v>
      </c>
      <c r="C54" s="20" t="s">
        <v>68</v>
      </c>
      <c r="D54" s="676"/>
      <c r="E54" s="618">
        <v>1</v>
      </c>
      <c r="F54" s="20"/>
      <c r="G54" s="15"/>
      <c r="H54" s="15" t="s">
        <v>69</v>
      </c>
      <c r="I54" s="20"/>
      <c r="J54" s="615"/>
      <c r="K54" s="812"/>
    </row>
    <row r="55" spans="1:11" s="1" customFormat="1" x14ac:dyDescent="0.2">
      <c r="A55" s="812"/>
      <c r="B55" s="574"/>
      <c r="C55" s="20" t="s">
        <v>70</v>
      </c>
      <c r="D55" s="690"/>
      <c r="E55" s="568">
        <v>80</v>
      </c>
      <c r="F55" s="20">
        <f>E21</f>
        <v>160</v>
      </c>
      <c r="G55" s="616" t="s">
        <v>71</v>
      </c>
      <c r="H55" s="617">
        <f>E167</f>
        <v>80</v>
      </c>
      <c r="I55" s="20" t="s">
        <v>8</v>
      </c>
      <c r="J55" s="615"/>
      <c r="K55" s="812"/>
    </row>
    <row r="56" spans="1:11" s="1" customFormat="1" x14ac:dyDescent="0.2">
      <c r="A56" s="812"/>
      <c r="B56" s="857"/>
      <c r="C56" s="858"/>
      <c r="D56" s="858"/>
      <c r="E56" s="858"/>
      <c r="F56" s="858"/>
      <c r="G56" s="858"/>
      <c r="H56" s="858"/>
      <c r="I56" s="858"/>
      <c r="J56" s="859"/>
      <c r="K56" s="812"/>
    </row>
    <row r="57" spans="1:11" s="1" customFormat="1" x14ac:dyDescent="0.2">
      <c r="A57" s="812"/>
      <c r="B57" s="860" t="s">
        <v>72</v>
      </c>
      <c r="C57" s="561"/>
      <c r="D57" s="561"/>
      <c r="E57" s="561"/>
      <c r="F57" s="561"/>
      <c r="G57" s="561"/>
      <c r="H57" s="561"/>
      <c r="I57" s="561"/>
      <c r="J57" s="545"/>
      <c r="K57" s="812"/>
    </row>
    <row r="58" spans="1:11" s="1" customFormat="1" x14ac:dyDescent="0.2">
      <c r="A58" s="812"/>
      <c r="B58" s="861"/>
      <c r="C58" s="565"/>
      <c r="D58" s="565"/>
      <c r="E58" s="565"/>
      <c r="F58" s="565"/>
      <c r="G58" s="565" t="s">
        <v>73</v>
      </c>
      <c r="H58" s="565" t="s">
        <v>74</v>
      </c>
      <c r="I58" s="565" t="s">
        <v>73</v>
      </c>
      <c r="J58" s="551" t="s">
        <v>75</v>
      </c>
      <c r="K58" s="812"/>
    </row>
    <row r="59" spans="1:11" s="1" customFormat="1" x14ac:dyDescent="0.2">
      <c r="A59" s="812"/>
      <c r="B59" s="728" t="s">
        <v>24</v>
      </c>
      <c r="C59" s="569" t="s">
        <v>76</v>
      </c>
      <c r="D59" s="576"/>
      <c r="E59" s="619">
        <v>55</v>
      </c>
      <c r="F59" s="543">
        <f>SUM(E59*1.341)</f>
        <v>73.754999999999995</v>
      </c>
      <c r="G59" s="696" t="s">
        <v>77</v>
      </c>
      <c r="H59" s="730">
        <f>SUM((E37*1000)/E34)*E59*E10</f>
        <v>44000</v>
      </c>
      <c r="I59" s="591"/>
      <c r="J59" s="545"/>
      <c r="K59" s="812"/>
    </row>
    <row r="60" spans="1:11" s="1" customFormat="1" x14ac:dyDescent="0.2">
      <c r="A60" s="812"/>
      <c r="B60" s="849"/>
      <c r="C60" s="570" t="s">
        <v>78</v>
      </c>
      <c r="D60" s="20"/>
      <c r="E60" s="620">
        <v>0.47</v>
      </c>
      <c r="F60" s="9"/>
      <c r="G60" s="539">
        <f>SUM(H59*E60)</f>
        <v>20680</v>
      </c>
      <c r="H60" s="547"/>
      <c r="I60" s="613"/>
      <c r="J60" s="547"/>
      <c r="K60" s="812"/>
    </row>
    <row r="61" spans="1:11" s="1" customFormat="1" x14ac:dyDescent="0.2">
      <c r="A61" s="812"/>
      <c r="B61" s="849"/>
      <c r="C61" s="570" t="s">
        <v>25</v>
      </c>
      <c r="D61" s="20"/>
      <c r="E61" s="621">
        <f>E22</f>
        <v>0</v>
      </c>
      <c r="F61" s="9"/>
      <c r="G61" s="697"/>
      <c r="H61" s="547"/>
      <c r="I61" s="613"/>
      <c r="J61" s="547"/>
      <c r="K61" s="812"/>
    </row>
    <row r="62" spans="1:11" s="1" customFormat="1" x14ac:dyDescent="0.2">
      <c r="A62" s="812"/>
      <c r="B62" s="849"/>
      <c r="C62" s="569" t="s">
        <v>79</v>
      </c>
      <c r="D62" s="576"/>
      <c r="E62" s="731">
        <v>11</v>
      </c>
      <c r="F62" s="561"/>
      <c r="G62" s="591"/>
      <c r="H62" s="561"/>
      <c r="I62" s="591"/>
      <c r="J62" s="545">
        <f>SUM((E37*1000)/E34)*E62*E12</f>
        <v>8800</v>
      </c>
      <c r="K62" s="812"/>
    </row>
    <row r="63" spans="1:11" s="1" customFormat="1" x14ac:dyDescent="0.2">
      <c r="A63" s="812"/>
      <c r="B63" s="849"/>
      <c r="C63" s="571" t="s">
        <v>80</v>
      </c>
      <c r="D63" s="527"/>
      <c r="E63" s="663">
        <v>1.3</v>
      </c>
      <c r="F63" s="528"/>
      <c r="G63" s="612"/>
      <c r="H63" s="565"/>
      <c r="I63" s="540">
        <f>SUM(J62*E63)</f>
        <v>11440</v>
      </c>
      <c r="J63" s="551"/>
      <c r="K63" s="812"/>
    </row>
    <row r="64" spans="1:11" s="1" customFormat="1" x14ac:dyDescent="0.2">
      <c r="A64" s="812"/>
      <c r="B64" s="849"/>
      <c r="C64" s="9" t="s">
        <v>26</v>
      </c>
      <c r="D64" s="20"/>
      <c r="E64" s="622">
        <f t="shared" ref="E64:E69" si="0">E23</f>
        <v>2</v>
      </c>
      <c r="F64" s="7" t="s">
        <v>27</v>
      </c>
      <c r="G64" s="613"/>
      <c r="H64" s="15"/>
      <c r="I64" s="539"/>
      <c r="J64" s="547"/>
      <c r="K64" s="812"/>
    </row>
    <row r="65" spans="1:11" s="1" customFormat="1" x14ac:dyDescent="0.2">
      <c r="A65" s="812"/>
      <c r="B65" s="849"/>
      <c r="C65" s="9" t="s">
        <v>28</v>
      </c>
      <c r="D65" s="20"/>
      <c r="E65" s="623">
        <f t="shared" si="0"/>
        <v>80</v>
      </c>
      <c r="F65" s="7"/>
      <c r="G65" s="613"/>
      <c r="H65" s="15"/>
      <c r="I65" s="539"/>
      <c r="J65" s="547"/>
      <c r="K65" s="812"/>
    </row>
    <row r="66" spans="1:11" s="1" customFormat="1" x14ac:dyDescent="0.2">
      <c r="A66" s="812"/>
      <c r="B66" s="849"/>
      <c r="C66" s="9" t="s">
        <v>29</v>
      </c>
      <c r="D66" s="20"/>
      <c r="E66" s="623">
        <f t="shared" si="0"/>
        <v>1</v>
      </c>
      <c r="F66" s="7"/>
      <c r="G66" s="613"/>
      <c r="H66" s="15"/>
      <c r="I66" s="539"/>
      <c r="J66" s="547"/>
      <c r="K66" s="812"/>
    </row>
    <row r="67" spans="1:11" s="1" customFormat="1" x14ac:dyDescent="0.2">
      <c r="A67" s="812"/>
      <c r="B67" s="849"/>
      <c r="C67" s="9" t="s">
        <v>30</v>
      </c>
      <c r="D67" s="20"/>
      <c r="E67" s="623">
        <f t="shared" si="0"/>
        <v>25</v>
      </c>
      <c r="F67" s="7" t="s">
        <v>31</v>
      </c>
      <c r="G67" s="613"/>
      <c r="H67" s="15"/>
      <c r="I67" s="539"/>
      <c r="J67" s="547"/>
      <c r="K67" s="812"/>
    </row>
    <row r="68" spans="1:11" s="1" customFormat="1" x14ac:dyDescent="0.2">
      <c r="A68" s="812"/>
      <c r="B68" s="849"/>
      <c r="C68" s="9" t="s">
        <v>32</v>
      </c>
      <c r="D68" s="20"/>
      <c r="E68" s="624">
        <f t="shared" si="0"/>
        <v>0</v>
      </c>
      <c r="F68" s="7" t="s">
        <v>33</v>
      </c>
      <c r="G68" s="613"/>
      <c r="H68" s="15"/>
      <c r="I68" s="539"/>
      <c r="J68" s="547"/>
      <c r="K68" s="812"/>
    </row>
    <row r="69" spans="1:11" s="1" customFormat="1" x14ac:dyDescent="0.2">
      <c r="A69" s="812"/>
      <c r="B69" s="849"/>
      <c r="C69" s="9" t="s">
        <v>34</v>
      </c>
      <c r="D69" s="20"/>
      <c r="E69" s="566">
        <f t="shared" si="0"/>
        <v>1</v>
      </c>
      <c r="F69" s="7"/>
      <c r="G69" s="613"/>
      <c r="H69" s="15"/>
      <c r="I69" s="539"/>
      <c r="J69" s="547"/>
      <c r="K69" s="812"/>
    </row>
    <row r="70" spans="1:11" s="1" customFormat="1" x14ac:dyDescent="0.2">
      <c r="A70" s="812"/>
      <c r="B70" s="852"/>
      <c r="C70" s="9"/>
      <c r="D70" s="9"/>
      <c r="E70" s="540"/>
      <c r="F70" s="550"/>
      <c r="G70" s="612" t="s">
        <v>73</v>
      </c>
      <c r="H70" s="565" t="s">
        <v>81</v>
      </c>
      <c r="I70" s="612" t="s">
        <v>73</v>
      </c>
      <c r="J70" s="551" t="s">
        <v>81</v>
      </c>
      <c r="K70" s="812"/>
    </row>
    <row r="71" spans="1:11" s="1" customFormat="1" x14ac:dyDescent="0.2">
      <c r="A71" s="812"/>
      <c r="B71" s="728" t="s">
        <v>35</v>
      </c>
      <c r="C71" s="569" t="s">
        <v>37</v>
      </c>
      <c r="D71" s="626"/>
      <c r="E71" s="625">
        <f>E30</f>
        <v>2</v>
      </c>
      <c r="F71" s="570"/>
      <c r="G71" s="697"/>
      <c r="H71" s="15"/>
      <c r="I71" s="539"/>
      <c r="J71" s="547"/>
      <c r="K71" s="812"/>
    </row>
    <row r="72" spans="1:11" s="1" customFormat="1" x14ac:dyDescent="0.2">
      <c r="A72" s="812"/>
      <c r="B72" s="853"/>
      <c r="C72" s="570" t="s">
        <v>38</v>
      </c>
      <c r="D72" s="615"/>
      <c r="E72" s="625">
        <f>E31</f>
        <v>12</v>
      </c>
      <c r="F72" s="570"/>
      <c r="G72" s="697"/>
      <c r="H72" s="15"/>
      <c r="I72" s="539"/>
      <c r="J72" s="547"/>
      <c r="K72" s="812"/>
    </row>
    <row r="73" spans="1:11" s="1" customFormat="1" x14ac:dyDescent="0.2">
      <c r="A73" s="812"/>
      <c r="B73" s="854"/>
      <c r="C73" s="569" t="s">
        <v>76</v>
      </c>
      <c r="D73" s="626"/>
      <c r="E73" s="619">
        <v>37</v>
      </c>
      <c r="F73" s="569">
        <f>SUM(E73*1.341)</f>
        <v>49.616999999999997</v>
      </c>
      <c r="G73" s="696" t="s">
        <v>82</v>
      </c>
      <c r="H73" s="545">
        <f>SUM((E42*1000)/E39)*E73*E15</f>
        <v>37000</v>
      </c>
      <c r="I73" s="539"/>
      <c r="J73" s="547"/>
      <c r="K73" s="812"/>
    </row>
    <row r="74" spans="1:11" s="1" customFormat="1" x14ac:dyDescent="0.2">
      <c r="A74" s="812"/>
      <c r="B74" s="854"/>
      <c r="C74" s="570" t="s">
        <v>78</v>
      </c>
      <c r="D74" s="615"/>
      <c r="E74" s="620">
        <v>0.46600000000000003</v>
      </c>
      <c r="F74" s="570"/>
      <c r="G74" s="613">
        <f>SUM(H73*E74)</f>
        <v>17242</v>
      </c>
      <c r="H74" s="547"/>
      <c r="I74" s="539"/>
      <c r="J74" s="547"/>
      <c r="K74" s="812"/>
    </row>
    <row r="75" spans="1:11" s="1" customFormat="1" x14ac:dyDescent="0.2">
      <c r="A75" s="812"/>
      <c r="B75" s="854"/>
      <c r="C75" s="570" t="s">
        <v>36</v>
      </c>
      <c r="D75" s="615"/>
      <c r="E75" s="621">
        <f>E29</f>
        <v>0</v>
      </c>
      <c r="F75" s="570"/>
      <c r="G75" s="613"/>
      <c r="H75" s="547"/>
      <c r="I75" s="539"/>
      <c r="J75" s="547"/>
      <c r="K75" s="812"/>
    </row>
    <row r="76" spans="1:11" s="1" customFormat="1" x14ac:dyDescent="0.2">
      <c r="A76" s="812"/>
      <c r="B76" s="854"/>
      <c r="C76" s="569" t="s">
        <v>79</v>
      </c>
      <c r="D76" s="626"/>
      <c r="E76" s="731">
        <v>11</v>
      </c>
      <c r="F76" s="666"/>
      <c r="G76" s="591"/>
      <c r="H76" s="561"/>
      <c r="I76" s="591"/>
      <c r="J76" s="545">
        <f>SUM((E42*1000)/E39)*E76*E17</f>
        <v>11000</v>
      </c>
      <c r="K76" s="812"/>
    </row>
    <row r="77" spans="1:11" s="1" customFormat="1" x14ac:dyDescent="0.2">
      <c r="A77" s="812"/>
      <c r="B77" s="854"/>
      <c r="C77" s="571" t="s">
        <v>80</v>
      </c>
      <c r="D77" s="572"/>
      <c r="E77" s="663">
        <v>1.3</v>
      </c>
      <c r="F77" s="564"/>
      <c r="G77" s="612"/>
      <c r="H77" s="550"/>
      <c r="I77" s="612">
        <f>SUM(J76*E77)</f>
        <v>14300</v>
      </c>
      <c r="J77" s="551"/>
      <c r="K77" s="812"/>
    </row>
    <row r="78" spans="1:11" s="1" customFormat="1" x14ac:dyDescent="0.2">
      <c r="A78" s="812"/>
      <c r="B78" s="855"/>
      <c r="C78" s="627"/>
      <c r="D78" s="551"/>
      <c r="E78" s="612"/>
      <c r="F78" s="571" t="s">
        <v>83</v>
      </c>
      <c r="G78" s="671">
        <f>SUM(G60+G74)</f>
        <v>37922</v>
      </c>
      <c r="H78" s="565">
        <f>SUM(H59+H73)</f>
        <v>81000</v>
      </c>
      <c r="I78" s="671">
        <f>SUM(I63+I77)</f>
        <v>25740</v>
      </c>
      <c r="J78" s="628">
        <f>SUM(J62+J76)</f>
        <v>19800</v>
      </c>
      <c r="K78" s="812"/>
    </row>
    <row r="79" spans="1:11" s="1" customFormat="1" x14ac:dyDescent="0.2">
      <c r="A79" s="812"/>
      <c r="B79" s="857"/>
      <c r="C79" s="858"/>
      <c r="D79" s="858"/>
      <c r="E79" s="858"/>
      <c r="F79" s="858"/>
      <c r="G79" s="858"/>
      <c r="H79" s="858"/>
      <c r="I79" s="858"/>
      <c r="J79" s="859"/>
      <c r="K79" s="812"/>
    </row>
    <row r="80" spans="1:11" s="1" customFormat="1" x14ac:dyDescent="0.2">
      <c r="A80" s="812"/>
      <c r="B80" s="530" t="s">
        <v>84</v>
      </c>
      <c r="C80" s="20" t="s">
        <v>85</v>
      </c>
      <c r="D80" s="20"/>
      <c r="E80" s="629">
        <v>4.5</v>
      </c>
      <c r="F80" s="560" t="s">
        <v>63</v>
      </c>
      <c r="G80" s="561"/>
      <c r="H80" s="561"/>
      <c r="I80" s="561"/>
      <c r="J80" s="545"/>
      <c r="K80" s="812"/>
    </row>
    <row r="81" spans="1:11" s="1" customFormat="1" x14ac:dyDescent="0.2">
      <c r="A81" s="812"/>
      <c r="B81" s="849"/>
      <c r="C81" s="20" t="s">
        <v>86</v>
      </c>
      <c r="D81" s="20"/>
      <c r="E81" s="630">
        <v>32</v>
      </c>
      <c r="F81" s="632" t="s">
        <v>87</v>
      </c>
      <c r="G81" s="15"/>
      <c r="H81" s="15"/>
      <c r="I81" s="15"/>
      <c r="J81" s="547"/>
      <c r="K81" s="812"/>
    </row>
    <row r="82" spans="1:11" s="1" customFormat="1" x14ac:dyDescent="0.2">
      <c r="A82" s="812"/>
      <c r="B82" s="850"/>
      <c r="C82" s="20" t="s">
        <v>88</v>
      </c>
      <c r="D82" s="20"/>
      <c r="E82" s="631">
        <v>7</v>
      </c>
      <c r="F82" s="633" t="s">
        <v>89</v>
      </c>
      <c r="G82" s="565"/>
      <c r="H82" s="565"/>
      <c r="I82" s="565"/>
      <c r="J82" s="551"/>
      <c r="K82" s="812"/>
    </row>
    <row r="83" spans="1:11" s="1" customFormat="1" x14ac:dyDescent="0.2">
      <c r="A83" s="812"/>
      <c r="B83" s="822"/>
      <c r="C83" s="823"/>
      <c r="D83" s="823"/>
      <c r="E83" s="823"/>
      <c r="F83" s="823"/>
      <c r="G83" s="823"/>
      <c r="H83" s="823"/>
      <c r="I83" s="823"/>
      <c r="J83" s="824"/>
      <c r="K83" s="812"/>
    </row>
    <row r="84" spans="1:11" s="1" customFormat="1" x14ac:dyDescent="0.2">
      <c r="A84" s="812"/>
      <c r="B84" s="530" t="s">
        <v>90</v>
      </c>
      <c r="C84" s="732" t="s">
        <v>91</v>
      </c>
      <c r="D84" s="561"/>
      <c r="E84" s="591" t="s">
        <v>92</v>
      </c>
      <c r="F84" s="560" t="s">
        <v>93</v>
      </c>
      <c r="G84" s="561"/>
      <c r="H84" s="591" t="s">
        <v>94</v>
      </c>
      <c r="I84" s="561"/>
      <c r="J84" s="591" t="s">
        <v>95</v>
      </c>
      <c r="K84" s="812"/>
    </row>
    <row r="85" spans="1:11" s="1" customFormat="1" x14ac:dyDescent="0.2">
      <c r="A85" s="812"/>
      <c r="B85" s="856"/>
      <c r="C85" s="733" t="s">
        <v>96</v>
      </c>
      <c r="D85" s="9" t="s">
        <v>73</v>
      </c>
      <c r="E85" s="630">
        <v>490</v>
      </c>
      <c r="F85" s="635">
        <f>SUM(H85*$E$21)/1000</f>
        <v>16</v>
      </c>
      <c r="G85" s="15"/>
      <c r="H85" s="534">
        <v>100</v>
      </c>
      <c r="I85" s="15" t="s">
        <v>63</v>
      </c>
      <c r="J85" s="706">
        <f>SUM(E85*(H85/1000))</f>
        <v>49</v>
      </c>
      <c r="K85" s="812"/>
    </row>
    <row r="86" spans="1:11" s="1" customFormat="1" x14ac:dyDescent="0.2">
      <c r="A86" s="812"/>
      <c r="B86" s="856"/>
      <c r="C86" s="733" t="s">
        <v>97</v>
      </c>
      <c r="D86" s="9" t="s">
        <v>73</v>
      </c>
      <c r="E86" s="630">
        <v>700</v>
      </c>
      <c r="F86" s="635">
        <f>SUM(H86*$E$21)/1000</f>
        <v>32</v>
      </c>
      <c r="G86" s="15"/>
      <c r="H86" s="534">
        <v>200</v>
      </c>
      <c r="I86" s="15" t="s">
        <v>63</v>
      </c>
      <c r="J86" s="706">
        <f>SUM(E86*(H86/1000))</f>
        <v>140</v>
      </c>
      <c r="K86" s="812"/>
    </row>
    <row r="87" spans="1:11" s="1" customFormat="1" x14ac:dyDescent="0.2">
      <c r="A87" s="812"/>
      <c r="B87" s="856"/>
      <c r="C87" s="733"/>
      <c r="D87" s="9" t="s">
        <v>73</v>
      </c>
      <c r="E87" s="630">
        <v>0</v>
      </c>
      <c r="F87" s="635">
        <f>SUM(H87*$E$21)/1000</f>
        <v>0</v>
      </c>
      <c r="G87" s="15"/>
      <c r="H87" s="534">
        <v>0</v>
      </c>
      <c r="I87" s="15" t="s">
        <v>63</v>
      </c>
      <c r="J87" s="706">
        <f>SUM(E87*(H87/1000))</f>
        <v>0</v>
      </c>
      <c r="K87" s="812"/>
    </row>
    <row r="88" spans="1:11" s="1" customFormat="1" x14ac:dyDescent="0.2">
      <c r="A88" s="812"/>
      <c r="B88" s="856"/>
      <c r="C88" s="734"/>
      <c r="D88" s="550" t="s">
        <v>73</v>
      </c>
      <c r="E88" s="735">
        <v>0</v>
      </c>
      <c r="F88" s="736">
        <f>SUM(H88*$E$21)/1000</f>
        <v>0</v>
      </c>
      <c r="G88" s="565"/>
      <c r="H88" s="737">
        <v>0</v>
      </c>
      <c r="I88" s="565" t="s">
        <v>63</v>
      </c>
      <c r="J88" s="717">
        <f>SUM(E88*(H88/1000))</f>
        <v>0</v>
      </c>
      <c r="K88" s="812"/>
    </row>
    <row r="89" spans="1:11" s="1" customFormat="1" x14ac:dyDescent="0.2">
      <c r="A89" s="812"/>
      <c r="B89" s="856"/>
      <c r="C89" s="28" t="s">
        <v>98</v>
      </c>
      <c r="D89" s="9"/>
      <c r="E89" s="613" t="s">
        <v>99</v>
      </c>
      <c r="F89" s="570"/>
      <c r="G89" s="9"/>
      <c r="H89" s="539"/>
      <c r="I89" s="15"/>
      <c r="J89" s="706"/>
      <c r="K89" s="812"/>
    </row>
    <row r="90" spans="1:11" s="1" customFormat="1" x14ac:dyDescent="0.2">
      <c r="A90" s="812"/>
      <c r="B90" s="856"/>
      <c r="C90" s="27" t="s">
        <v>476</v>
      </c>
      <c r="D90" s="9" t="s">
        <v>73</v>
      </c>
      <c r="E90" s="630">
        <v>1.65</v>
      </c>
      <c r="F90" s="632">
        <f>SUM(H90*$E$21)</f>
        <v>1600</v>
      </c>
      <c r="G90" s="15"/>
      <c r="H90" s="534">
        <v>10</v>
      </c>
      <c r="I90" s="15" t="s">
        <v>100</v>
      </c>
      <c r="J90" s="706">
        <f>SUM(E90*H90)</f>
        <v>16.5</v>
      </c>
      <c r="K90" s="812"/>
    </row>
    <row r="91" spans="1:11" s="1" customFormat="1" x14ac:dyDescent="0.2">
      <c r="A91" s="812"/>
      <c r="B91" s="856"/>
      <c r="C91" s="811" t="s">
        <v>477</v>
      </c>
      <c r="D91" s="9" t="s">
        <v>73</v>
      </c>
      <c r="E91" s="630">
        <v>18.8</v>
      </c>
      <c r="F91" s="632">
        <f>SUM(H91*$E$21)</f>
        <v>32</v>
      </c>
      <c r="G91" s="15"/>
      <c r="H91" s="534">
        <v>0.2</v>
      </c>
      <c r="I91" s="15" t="s">
        <v>100</v>
      </c>
      <c r="J91" s="706">
        <f>SUM(E91*H91)</f>
        <v>3.7600000000000002</v>
      </c>
      <c r="K91" s="812"/>
    </row>
    <row r="92" spans="1:11" s="1" customFormat="1" x14ac:dyDescent="0.2">
      <c r="A92" s="812"/>
      <c r="B92" s="856"/>
      <c r="C92" s="27"/>
      <c r="D92" s="9" t="s">
        <v>73</v>
      </c>
      <c r="E92" s="630"/>
      <c r="F92" s="632">
        <f>SUM(H92*$E$21)</f>
        <v>0</v>
      </c>
      <c r="G92" s="15"/>
      <c r="H92" s="534"/>
      <c r="I92" s="15" t="s">
        <v>100</v>
      </c>
      <c r="J92" s="706">
        <f>SUM(E92*H92)</f>
        <v>0</v>
      </c>
      <c r="K92" s="812"/>
    </row>
    <row r="93" spans="1:11" s="1" customFormat="1" x14ac:dyDescent="0.2">
      <c r="A93" s="812"/>
      <c r="B93" s="856"/>
      <c r="C93" s="27"/>
      <c r="D93" s="9" t="s">
        <v>73</v>
      </c>
      <c r="E93" s="630"/>
      <c r="F93" s="632">
        <f>SUM(H93*$E$21)</f>
        <v>0</v>
      </c>
      <c r="G93" s="15"/>
      <c r="H93" s="534"/>
      <c r="I93" s="15" t="s">
        <v>100</v>
      </c>
      <c r="J93" s="706">
        <f>SUM(E93*H93)</f>
        <v>0</v>
      </c>
      <c r="K93" s="812"/>
    </row>
    <row r="94" spans="1:11" s="1" customFormat="1" x14ac:dyDescent="0.2">
      <c r="A94" s="812"/>
      <c r="B94" s="856"/>
      <c r="C94" s="580" t="s">
        <v>101</v>
      </c>
      <c r="D94" s="738"/>
      <c r="E94" s="739">
        <v>0.6</v>
      </c>
      <c r="F94" s="632"/>
      <c r="G94" s="15"/>
      <c r="H94" s="612"/>
      <c r="I94" s="15"/>
      <c r="J94" s="612"/>
      <c r="K94" s="812"/>
    </row>
    <row r="95" spans="1:11" s="1" customFormat="1" x14ac:dyDescent="0.2">
      <c r="A95" s="812"/>
      <c r="B95" s="856"/>
      <c r="C95" s="704"/>
      <c r="D95" s="581"/>
      <c r="E95" s="705" t="s">
        <v>102</v>
      </c>
      <c r="F95" s="601" t="s">
        <v>61</v>
      </c>
      <c r="G95" s="601" t="s">
        <v>103</v>
      </c>
      <c r="H95" s="581"/>
      <c r="I95" s="581"/>
      <c r="J95" s="558"/>
      <c r="K95" s="812"/>
    </row>
    <row r="96" spans="1:11" s="1" customFormat="1" x14ac:dyDescent="0.2">
      <c r="A96" s="812"/>
      <c r="B96" s="698" t="s">
        <v>104</v>
      </c>
      <c r="C96" s="699" t="s">
        <v>105</v>
      </c>
      <c r="D96" s="700"/>
      <c r="E96" s="701">
        <v>2</v>
      </c>
      <c r="F96" s="707">
        <v>9</v>
      </c>
      <c r="G96" s="708">
        <v>45</v>
      </c>
      <c r="H96" s="702"/>
      <c r="I96" s="702"/>
      <c r="J96" s="703"/>
      <c r="K96" s="812"/>
    </row>
    <row r="97" spans="1:11" s="1" customFormat="1" x14ac:dyDescent="0.2">
      <c r="A97" s="812"/>
      <c r="B97" s="574"/>
      <c r="C97" s="527" t="s">
        <v>106</v>
      </c>
      <c r="D97" s="550"/>
      <c r="E97" s="637">
        <v>0</v>
      </c>
      <c r="F97" s="663">
        <v>20</v>
      </c>
      <c r="G97" s="565"/>
      <c r="H97" s="565"/>
      <c r="I97" s="565"/>
      <c r="J97" s="551"/>
      <c r="K97" s="812"/>
    </row>
    <row r="98" spans="1:11" s="1" customFormat="1" x14ac:dyDescent="0.2">
      <c r="A98" s="812"/>
      <c r="B98" s="822"/>
      <c r="C98" s="823"/>
      <c r="D98" s="823"/>
      <c r="E98" s="823"/>
      <c r="F98" s="823"/>
      <c r="G98" s="823"/>
      <c r="H98" s="823"/>
      <c r="I98" s="823"/>
      <c r="J98" s="824"/>
      <c r="K98" s="812"/>
    </row>
    <row r="99" spans="1:11" s="1" customFormat="1" x14ac:dyDescent="0.2">
      <c r="A99" s="812"/>
      <c r="B99" s="530" t="s">
        <v>107</v>
      </c>
      <c r="C99" s="638" t="s">
        <v>108</v>
      </c>
      <c r="D99" s="545"/>
      <c r="E99" s="639" t="s">
        <v>109</v>
      </c>
      <c r="F99" s="709" t="s">
        <v>110</v>
      </c>
      <c r="G99" s="561" t="s">
        <v>99</v>
      </c>
      <c r="H99" s="591" t="s">
        <v>111</v>
      </c>
      <c r="I99" s="591" t="s">
        <v>61</v>
      </c>
      <c r="J99" s="545"/>
      <c r="K99" s="812"/>
    </row>
    <row r="100" spans="1:11" s="1" customFormat="1" x14ac:dyDescent="0.2">
      <c r="A100" s="812"/>
      <c r="B100" s="856" t="s">
        <v>112</v>
      </c>
      <c r="C100" s="640" t="s">
        <v>113</v>
      </c>
      <c r="D100" s="657"/>
      <c r="E100" s="14">
        <v>20</v>
      </c>
      <c r="F100" s="710">
        <v>162</v>
      </c>
      <c r="G100" s="29">
        <f t="shared" ref="G100:G105" si="1">IF(E100=0,0,F100/E100)</f>
        <v>8.1</v>
      </c>
      <c r="H100" s="714">
        <v>0.1</v>
      </c>
      <c r="I100" s="706">
        <f t="shared" ref="I100:I105" si="2">SUM(G100*H100)</f>
        <v>0.81</v>
      </c>
      <c r="J100" s="547"/>
      <c r="K100" s="812"/>
    </row>
    <row r="101" spans="1:11" s="1" customFormat="1" x14ac:dyDescent="0.2">
      <c r="A101" s="812"/>
      <c r="B101" s="856"/>
      <c r="C101" s="640" t="s">
        <v>114</v>
      </c>
      <c r="D101" s="657"/>
      <c r="E101" s="14">
        <v>15</v>
      </c>
      <c r="F101" s="710">
        <v>318</v>
      </c>
      <c r="G101" s="29">
        <f t="shared" si="1"/>
        <v>21.2</v>
      </c>
      <c r="H101" s="714">
        <v>0.83</v>
      </c>
      <c r="I101" s="706">
        <f t="shared" si="2"/>
        <v>17.596</v>
      </c>
      <c r="J101" s="547"/>
      <c r="K101" s="812"/>
    </row>
    <row r="102" spans="1:11" s="1" customFormat="1" x14ac:dyDescent="0.2">
      <c r="A102" s="812"/>
      <c r="B102" s="856"/>
      <c r="C102" s="640" t="s">
        <v>468</v>
      </c>
      <c r="D102" s="657"/>
      <c r="E102" s="14">
        <v>10</v>
      </c>
      <c r="F102" s="710">
        <v>187</v>
      </c>
      <c r="G102" s="29">
        <f t="shared" si="1"/>
        <v>18.7</v>
      </c>
      <c r="H102" s="714">
        <v>0.86</v>
      </c>
      <c r="I102" s="706">
        <f t="shared" si="2"/>
        <v>16.082000000000001</v>
      </c>
      <c r="J102" s="547"/>
      <c r="K102" s="812"/>
    </row>
    <row r="103" spans="1:11" s="1" customFormat="1" x14ac:dyDescent="0.2">
      <c r="A103" s="812"/>
      <c r="B103" s="856"/>
      <c r="C103" s="640" t="s">
        <v>115</v>
      </c>
      <c r="D103" s="657"/>
      <c r="E103" s="14">
        <v>10</v>
      </c>
      <c r="F103" s="710">
        <v>170</v>
      </c>
      <c r="G103" s="29">
        <f t="shared" si="1"/>
        <v>17</v>
      </c>
      <c r="H103" s="714">
        <v>0.15</v>
      </c>
      <c r="I103" s="706">
        <f t="shared" si="2"/>
        <v>2.5499999999999998</v>
      </c>
      <c r="J103" s="547"/>
      <c r="K103" s="812"/>
    </row>
    <row r="104" spans="1:11" s="1" customFormat="1" x14ac:dyDescent="0.2">
      <c r="A104" s="812"/>
      <c r="B104" s="856"/>
      <c r="C104" s="640" t="s">
        <v>469</v>
      </c>
      <c r="D104" s="657"/>
      <c r="E104" s="14">
        <v>1</v>
      </c>
      <c r="F104" s="710">
        <v>485</v>
      </c>
      <c r="G104" s="29">
        <f t="shared" si="1"/>
        <v>485</v>
      </c>
      <c r="H104" s="714">
        <v>3.4000000000000002E-2</v>
      </c>
      <c r="I104" s="706">
        <f t="shared" si="2"/>
        <v>16.490000000000002</v>
      </c>
      <c r="J104" s="547"/>
      <c r="K104" s="812"/>
    </row>
    <row r="105" spans="1:11" s="1" customFormat="1" x14ac:dyDescent="0.2">
      <c r="A105" s="812"/>
      <c r="B105" s="856"/>
      <c r="C105" s="640" t="s">
        <v>470</v>
      </c>
      <c r="D105" s="657"/>
      <c r="E105" s="14">
        <v>20</v>
      </c>
      <c r="F105" s="710">
        <v>160</v>
      </c>
      <c r="G105" s="29">
        <f t="shared" si="1"/>
        <v>8</v>
      </c>
      <c r="H105" s="714">
        <v>2.4</v>
      </c>
      <c r="I105" s="706">
        <f t="shared" si="2"/>
        <v>19.2</v>
      </c>
      <c r="J105" s="547"/>
      <c r="K105" s="812"/>
    </row>
    <row r="106" spans="1:11" s="1" customFormat="1" x14ac:dyDescent="0.2">
      <c r="A106" s="812"/>
      <c r="B106" s="862" t="s">
        <v>117</v>
      </c>
      <c r="C106" s="638" t="s">
        <v>108</v>
      </c>
      <c r="D106" s="545"/>
      <c r="E106" s="639" t="s">
        <v>109</v>
      </c>
      <c r="F106" s="709" t="s">
        <v>110</v>
      </c>
      <c r="G106" s="654" t="s">
        <v>99</v>
      </c>
      <c r="H106" s="591" t="s">
        <v>111</v>
      </c>
      <c r="I106" s="716"/>
      <c r="J106" s="545"/>
      <c r="K106" s="812"/>
    </row>
    <row r="107" spans="1:11" s="1" customFormat="1" x14ac:dyDescent="0.2">
      <c r="A107" s="812"/>
      <c r="B107" s="856"/>
      <c r="C107" s="640" t="s">
        <v>471</v>
      </c>
      <c r="D107" s="657"/>
      <c r="E107" s="644">
        <v>25</v>
      </c>
      <c r="F107" s="552">
        <v>29.5</v>
      </c>
      <c r="G107" s="29">
        <f t="shared" ref="G107:G112" si="3">IF(E107=0,0,F107/E107)</f>
        <v>1.18</v>
      </c>
      <c r="H107" s="714">
        <v>1</v>
      </c>
      <c r="I107" s="706">
        <f t="shared" ref="I107:I112" si="4">SUM(G107*H107)</f>
        <v>1.18</v>
      </c>
      <c r="J107" s="547"/>
      <c r="K107" s="812"/>
    </row>
    <row r="108" spans="1:11" s="1" customFormat="1" x14ac:dyDescent="0.2">
      <c r="A108" s="812"/>
      <c r="B108" s="856"/>
      <c r="C108" s="640" t="s">
        <v>472</v>
      </c>
      <c r="D108" s="657"/>
      <c r="E108" s="644">
        <v>20</v>
      </c>
      <c r="F108" s="552">
        <v>250</v>
      </c>
      <c r="G108" s="29">
        <f t="shared" si="3"/>
        <v>12.5</v>
      </c>
      <c r="H108" s="714">
        <v>1</v>
      </c>
      <c r="I108" s="706">
        <f t="shared" si="4"/>
        <v>12.5</v>
      </c>
      <c r="J108" s="547"/>
      <c r="K108" s="812"/>
    </row>
    <row r="109" spans="1:11" s="1" customFormat="1" x14ac:dyDescent="0.2">
      <c r="A109" s="812"/>
      <c r="B109" s="856"/>
      <c r="C109" s="640" t="s">
        <v>118</v>
      </c>
      <c r="D109" s="657"/>
      <c r="E109" s="644">
        <v>20</v>
      </c>
      <c r="F109" s="552">
        <v>162</v>
      </c>
      <c r="G109" s="29">
        <f t="shared" si="3"/>
        <v>8.1</v>
      </c>
      <c r="H109" s="714">
        <v>1</v>
      </c>
      <c r="I109" s="706">
        <f t="shared" si="4"/>
        <v>8.1</v>
      </c>
      <c r="J109" s="547"/>
      <c r="K109" s="812"/>
    </row>
    <row r="110" spans="1:11" s="1" customFormat="1" x14ac:dyDescent="0.2">
      <c r="A110" s="812"/>
      <c r="B110" s="856"/>
      <c r="C110" s="640" t="s">
        <v>119</v>
      </c>
      <c r="D110" s="657"/>
      <c r="E110" s="644">
        <v>20</v>
      </c>
      <c r="F110" s="552">
        <v>420</v>
      </c>
      <c r="G110" s="29">
        <f t="shared" si="3"/>
        <v>21</v>
      </c>
      <c r="H110" s="714">
        <v>2</v>
      </c>
      <c r="I110" s="706">
        <f t="shared" si="4"/>
        <v>42</v>
      </c>
      <c r="J110" s="547"/>
      <c r="K110" s="812"/>
    </row>
    <row r="111" spans="1:11" s="1" customFormat="1" x14ac:dyDescent="0.2">
      <c r="A111" s="812"/>
      <c r="B111" s="856"/>
      <c r="C111" s="640" t="s">
        <v>120</v>
      </c>
      <c r="D111" s="657"/>
      <c r="E111" s="644">
        <v>2</v>
      </c>
      <c r="F111" s="552">
        <v>180</v>
      </c>
      <c r="G111" s="29">
        <f t="shared" si="3"/>
        <v>90</v>
      </c>
      <c r="H111" s="714">
        <v>0.14000000000000001</v>
      </c>
      <c r="I111" s="706">
        <f t="shared" si="4"/>
        <v>12.600000000000001</v>
      </c>
      <c r="J111" s="547"/>
      <c r="K111" s="812"/>
    </row>
    <row r="112" spans="1:11" s="1" customFormat="1" x14ac:dyDescent="0.2">
      <c r="A112" s="812"/>
      <c r="B112" s="863"/>
      <c r="C112" s="648"/>
      <c r="D112" s="658"/>
      <c r="E112" s="649"/>
      <c r="F112" s="711"/>
      <c r="G112" s="650">
        <f t="shared" si="3"/>
        <v>0</v>
      </c>
      <c r="H112" s="715"/>
      <c r="I112" s="717">
        <f t="shared" si="4"/>
        <v>0</v>
      </c>
      <c r="J112" s="551"/>
      <c r="K112" s="812"/>
    </row>
    <row r="113" spans="1:11" s="1" customFormat="1" ht="25.5" x14ac:dyDescent="0.2">
      <c r="A113" s="812"/>
      <c r="B113" s="856" t="s">
        <v>121</v>
      </c>
      <c r="C113" s="643" t="s">
        <v>108</v>
      </c>
      <c r="D113" s="547"/>
      <c r="E113" s="30" t="s">
        <v>109</v>
      </c>
      <c r="F113" s="712" t="s">
        <v>110</v>
      </c>
      <c r="G113" s="29" t="s">
        <v>99</v>
      </c>
      <c r="H113" s="613" t="s">
        <v>111</v>
      </c>
      <c r="I113" s="706"/>
      <c r="J113" s="645" t="s">
        <v>122</v>
      </c>
      <c r="K113" s="812"/>
    </row>
    <row r="114" spans="1:11" s="1" customFormat="1" x14ac:dyDescent="0.2">
      <c r="A114" s="812"/>
      <c r="B114" s="856"/>
      <c r="C114" s="640" t="s">
        <v>123</v>
      </c>
      <c r="D114" s="657"/>
      <c r="E114" s="14">
        <v>20</v>
      </c>
      <c r="F114" s="710">
        <v>190</v>
      </c>
      <c r="G114" s="29">
        <f>IF(E114=0,0,F114/E114)</f>
        <v>9.5</v>
      </c>
      <c r="H114" s="714">
        <v>0.16</v>
      </c>
      <c r="I114" s="706">
        <f>SUM(G114*H114)</f>
        <v>1.52</v>
      </c>
      <c r="J114" s="646">
        <v>3</v>
      </c>
      <c r="K114" s="812"/>
    </row>
    <row r="115" spans="1:11" s="1" customFormat="1" x14ac:dyDescent="0.2">
      <c r="A115" s="812"/>
      <c r="B115" s="856"/>
      <c r="C115" s="640" t="s">
        <v>474</v>
      </c>
      <c r="D115" s="657"/>
      <c r="E115" s="14">
        <v>20</v>
      </c>
      <c r="F115" s="710">
        <v>178</v>
      </c>
      <c r="G115" s="29">
        <f>IF(E115=0,0,F115/E115)</f>
        <v>8.9</v>
      </c>
      <c r="H115" s="714">
        <v>0.4</v>
      </c>
      <c r="I115" s="706">
        <f>SUM(G115*H115)</f>
        <v>3.5600000000000005</v>
      </c>
      <c r="J115" s="646">
        <v>2</v>
      </c>
      <c r="K115" s="812"/>
    </row>
    <row r="116" spans="1:11" s="1" customFormat="1" x14ac:dyDescent="0.2">
      <c r="A116" s="812"/>
      <c r="B116" s="856"/>
      <c r="C116" s="640" t="s">
        <v>475</v>
      </c>
      <c r="D116" s="657"/>
      <c r="E116" s="14">
        <v>20</v>
      </c>
      <c r="F116" s="710">
        <v>460</v>
      </c>
      <c r="G116" s="29">
        <f>IF(E116=0,0,F116/E116)</f>
        <v>23</v>
      </c>
      <c r="H116" s="714">
        <v>0.315</v>
      </c>
      <c r="I116" s="706">
        <f>SUM(G116*H116)</f>
        <v>7.2450000000000001</v>
      </c>
      <c r="J116" s="646">
        <v>1</v>
      </c>
      <c r="K116" s="812"/>
    </row>
    <row r="117" spans="1:11" s="1" customFormat="1" x14ac:dyDescent="0.2">
      <c r="A117" s="812"/>
      <c r="B117" s="856"/>
      <c r="C117" s="640" t="s">
        <v>124</v>
      </c>
      <c r="D117" s="657"/>
      <c r="E117" s="15"/>
      <c r="F117" s="713" t="s">
        <v>99</v>
      </c>
      <c r="G117" s="647">
        <v>1.5</v>
      </c>
      <c r="H117" s="714">
        <v>4</v>
      </c>
      <c r="I117" s="706">
        <f>SUM(G117*H117)</f>
        <v>6</v>
      </c>
      <c r="J117" s="646">
        <v>3</v>
      </c>
      <c r="K117" s="812"/>
    </row>
    <row r="118" spans="1:11" s="1" customFormat="1" x14ac:dyDescent="0.2">
      <c r="A118" s="812"/>
      <c r="B118" s="862" t="s">
        <v>125</v>
      </c>
      <c r="C118" s="638" t="s">
        <v>108</v>
      </c>
      <c r="D118" s="545"/>
      <c r="E118" s="639" t="s">
        <v>109</v>
      </c>
      <c r="F118" s="709" t="s">
        <v>110</v>
      </c>
      <c r="G118" s="654" t="s">
        <v>99</v>
      </c>
      <c r="H118" s="591" t="s">
        <v>111</v>
      </c>
      <c r="I118" s="673"/>
      <c r="J118" s="545"/>
      <c r="K118" s="812"/>
    </row>
    <row r="119" spans="1:11" s="1" customFormat="1" x14ac:dyDescent="0.2">
      <c r="A119" s="812"/>
      <c r="B119" s="856"/>
      <c r="C119" s="640" t="s">
        <v>126</v>
      </c>
      <c r="D119" s="657"/>
      <c r="E119" s="14"/>
      <c r="F119" s="710"/>
      <c r="G119" s="29">
        <f>IF(E119=0,0,F119/E119)</f>
        <v>0</v>
      </c>
      <c r="H119" s="714"/>
      <c r="I119" s="706">
        <f>SUM(G119*H119)</f>
        <v>0</v>
      </c>
      <c r="J119" s="547"/>
      <c r="K119" s="812"/>
    </row>
    <row r="120" spans="1:11" s="1" customFormat="1" x14ac:dyDescent="0.2">
      <c r="A120" s="812"/>
      <c r="B120" s="856"/>
      <c r="C120" s="640" t="s">
        <v>473</v>
      </c>
      <c r="D120" s="657"/>
      <c r="E120" s="14">
        <v>20</v>
      </c>
      <c r="F120" s="710">
        <v>250</v>
      </c>
      <c r="G120" s="29">
        <f>IF(E120=0,0,F120/E120)</f>
        <v>12.5</v>
      </c>
      <c r="H120" s="714">
        <v>1</v>
      </c>
      <c r="I120" s="706">
        <f>SUM(G120*H120)</f>
        <v>12.5</v>
      </c>
      <c r="J120" s="547"/>
      <c r="K120" s="812"/>
    </row>
    <row r="121" spans="1:11" s="1" customFormat="1" x14ac:dyDescent="0.2">
      <c r="A121" s="812"/>
      <c r="B121" s="856"/>
      <c r="C121" s="640"/>
      <c r="D121" s="657"/>
      <c r="E121" s="14"/>
      <c r="F121" s="710"/>
      <c r="G121" s="29">
        <f>IF(E121=0,0,F121/E121)</f>
        <v>0</v>
      </c>
      <c r="H121" s="714"/>
      <c r="I121" s="706">
        <f>SUM(G121*H121)</f>
        <v>0</v>
      </c>
      <c r="J121" s="547"/>
      <c r="K121" s="812"/>
    </row>
    <row r="122" spans="1:11" s="1" customFormat="1" x14ac:dyDescent="0.2">
      <c r="A122" s="812"/>
      <c r="B122" s="863"/>
      <c r="C122" s="648"/>
      <c r="D122" s="658"/>
      <c r="E122" s="649"/>
      <c r="F122" s="711"/>
      <c r="G122" s="650">
        <f>IF(E122=0,0,F122/E122)</f>
        <v>0</v>
      </c>
      <c r="H122" s="715"/>
      <c r="I122" s="717">
        <f>SUM(G122*H122)</f>
        <v>0</v>
      </c>
      <c r="J122" s="551"/>
      <c r="K122" s="812"/>
    </row>
    <row r="123" spans="1:11" s="1" customFormat="1" x14ac:dyDescent="0.2">
      <c r="A123" s="812"/>
      <c r="B123" s="862"/>
      <c r="C123" s="580" t="s">
        <v>101</v>
      </c>
      <c r="D123" s="740"/>
      <c r="E123" s="739">
        <v>0.6</v>
      </c>
      <c r="F123" s="561"/>
      <c r="G123" s="591"/>
      <c r="H123" s="591"/>
      <c r="I123" s="561"/>
      <c r="J123" s="545"/>
      <c r="K123" s="812"/>
    </row>
    <row r="124" spans="1:11" s="1" customFormat="1" x14ac:dyDescent="0.2">
      <c r="A124" s="812"/>
      <c r="B124" s="856"/>
      <c r="C124" s="651"/>
      <c r="D124" s="641"/>
      <c r="E124" s="566"/>
      <c r="F124" s="641"/>
      <c r="G124" s="613" t="s">
        <v>61</v>
      </c>
      <c r="H124" s="613"/>
      <c r="I124" s="15"/>
      <c r="J124" s="547"/>
      <c r="K124" s="812"/>
    </row>
    <row r="125" spans="1:11" s="1" customFormat="1" x14ac:dyDescent="0.2">
      <c r="A125" s="812"/>
      <c r="B125" s="634" t="s">
        <v>127</v>
      </c>
      <c r="C125" s="20" t="s">
        <v>128</v>
      </c>
      <c r="D125" s="20"/>
      <c r="E125" s="535">
        <v>9</v>
      </c>
      <c r="F125" s="15"/>
      <c r="G125" s="620">
        <v>20</v>
      </c>
      <c r="H125" s="613"/>
      <c r="I125" s="15"/>
      <c r="J125" s="547"/>
      <c r="K125" s="812"/>
    </row>
    <row r="126" spans="1:11" s="1" customFormat="1" x14ac:dyDescent="0.2">
      <c r="A126" s="812"/>
      <c r="B126" s="634" t="s">
        <v>129</v>
      </c>
      <c r="C126" s="651" t="s">
        <v>130</v>
      </c>
      <c r="D126" s="641"/>
      <c r="E126" s="669">
        <v>0.05</v>
      </c>
      <c r="F126" s="652">
        <f>SUM(E21*E126)</f>
        <v>8</v>
      </c>
      <c r="G126" s="613" t="s">
        <v>8</v>
      </c>
      <c r="H126" s="613">
        <f>SUM(F126*2.47105381)</f>
        <v>19.768430479999999</v>
      </c>
      <c r="I126" s="7" t="s">
        <v>9</v>
      </c>
      <c r="J126" s="547"/>
      <c r="K126" s="812"/>
    </row>
    <row r="127" spans="1:11" x14ac:dyDescent="0.2">
      <c r="B127" s="656"/>
      <c r="C127" s="527"/>
      <c r="D127" s="527"/>
      <c r="E127" s="661"/>
      <c r="F127" s="653"/>
      <c r="G127" s="661"/>
      <c r="H127" s="661"/>
      <c r="I127" s="653"/>
      <c r="J127" s="551"/>
    </row>
    <row r="128" spans="1:11" x14ac:dyDescent="0.2">
      <c r="B128" s="864"/>
      <c r="C128" s="864"/>
      <c r="D128" s="864"/>
      <c r="E128" s="864"/>
      <c r="F128" s="864"/>
      <c r="G128" s="864"/>
      <c r="H128" s="864"/>
      <c r="I128" s="864"/>
      <c r="J128" s="864"/>
    </row>
    <row r="129" spans="2:10" x14ac:dyDescent="0.2">
      <c r="B129" s="530" t="s">
        <v>131</v>
      </c>
      <c r="C129" s="8"/>
      <c r="D129" s="8"/>
      <c r="E129" s="591" t="s">
        <v>132</v>
      </c>
      <c r="F129" s="591" t="s">
        <v>133</v>
      </c>
      <c r="G129" s="8" t="s">
        <v>134</v>
      </c>
      <c r="H129" s="591" t="s">
        <v>135</v>
      </c>
      <c r="I129" s="8" t="s">
        <v>61</v>
      </c>
      <c r="J129" s="10"/>
    </row>
    <row r="130" spans="2:10" x14ac:dyDescent="0.2">
      <c r="B130" s="850"/>
      <c r="C130" s="27" t="s">
        <v>136</v>
      </c>
      <c r="D130" s="20"/>
      <c r="E130" s="536">
        <v>500</v>
      </c>
      <c r="F130" s="620">
        <v>640</v>
      </c>
      <c r="G130" s="29">
        <f>IF(F130=0,0,(F130/E130))</f>
        <v>1.28</v>
      </c>
      <c r="H130" s="534">
        <v>25</v>
      </c>
      <c r="I130" s="29">
        <f>SUM(G130*H130)</f>
        <v>32</v>
      </c>
      <c r="J130" s="13"/>
    </row>
    <row r="131" spans="2:10" x14ac:dyDescent="0.2">
      <c r="B131" s="850"/>
      <c r="C131" s="27"/>
      <c r="D131" s="20"/>
      <c r="E131" s="534"/>
      <c r="F131" s="620"/>
      <c r="G131" s="29">
        <f>IF(F131=0,0,(F131/E131))</f>
        <v>0</v>
      </c>
      <c r="H131" s="534"/>
      <c r="I131" s="29">
        <f>SUM(G131*H131)</f>
        <v>0</v>
      </c>
      <c r="J131" s="13"/>
    </row>
    <row r="132" spans="2:10" x14ac:dyDescent="0.2">
      <c r="B132" s="850"/>
      <c r="C132" s="32"/>
      <c r="D132" s="32"/>
      <c r="E132" s="659"/>
      <c r="F132" s="612"/>
      <c r="G132" s="18"/>
      <c r="H132" s="719"/>
      <c r="I132" s="18"/>
      <c r="J132" s="19"/>
    </row>
    <row r="133" spans="2:10" x14ac:dyDescent="0.2">
      <c r="B133" s="530" t="s">
        <v>137</v>
      </c>
      <c r="C133" s="25"/>
      <c r="D133" s="25"/>
      <c r="E133" s="660" t="s">
        <v>138</v>
      </c>
      <c r="F133" s="15"/>
      <c r="G133" s="8"/>
      <c r="H133" s="693" t="s">
        <v>139</v>
      </c>
      <c r="I133" s="8"/>
      <c r="J133" s="10"/>
    </row>
    <row r="134" spans="2:10" x14ac:dyDescent="0.2">
      <c r="B134" s="849"/>
      <c r="C134" s="20" t="s">
        <v>140</v>
      </c>
      <c r="D134" s="20"/>
      <c r="E134" s="630">
        <v>2.5</v>
      </c>
      <c r="F134" s="15"/>
      <c r="G134" s="15"/>
      <c r="H134" s="620">
        <v>12.5</v>
      </c>
      <c r="I134" s="15"/>
      <c r="J134" s="13"/>
    </row>
    <row r="135" spans="2:10" x14ac:dyDescent="0.2">
      <c r="B135" s="850"/>
      <c r="C135" s="20"/>
      <c r="D135" s="20"/>
      <c r="E135" s="661"/>
      <c r="F135" s="15"/>
      <c r="G135" s="15"/>
      <c r="H135" s="612"/>
      <c r="I135" s="15"/>
      <c r="J135" s="13"/>
    </row>
    <row r="136" spans="2:10" x14ac:dyDescent="0.2">
      <c r="B136" s="822"/>
      <c r="C136" s="823"/>
      <c r="D136" s="823"/>
      <c r="E136" s="823"/>
      <c r="F136" s="823"/>
      <c r="G136" s="823"/>
      <c r="H136" s="823"/>
      <c r="I136" s="823"/>
      <c r="J136" s="824"/>
    </row>
    <row r="137" spans="2:10" x14ac:dyDescent="0.2">
      <c r="B137" s="530" t="s">
        <v>141</v>
      </c>
      <c r="C137" s="20"/>
      <c r="D137" s="20"/>
      <c r="E137" s="662" t="s">
        <v>134</v>
      </c>
      <c r="F137" s="591"/>
      <c r="G137" s="15"/>
      <c r="H137" s="15"/>
      <c r="I137" s="15"/>
      <c r="J137" s="13"/>
    </row>
    <row r="138" spans="2:10" x14ac:dyDescent="0.2">
      <c r="B138" s="850"/>
      <c r="C138" s="20" t="s">
        <v>142</v>
      </c>
      <c r="D138" s="20"/>
      <c r="E138" s="620">
        <v>0.18</v>
      </c>
      <c r="F138" s="613"/>
      <c r="G138" s="15"/>
      <c r="H138" s="15"/>
      <c r="I138" s="15"/>
      <c r="J138" s="13"/>
    </row>
    <row r="139" spans="2:10" x14ac:dyDescent="0.2">
      <c r="B139" s="850"/>
      <c r="C139" s="20" t="s">
        <v>143</v>
      </c>
      <c r="D139" s="20"/>
      <c r="E139" s="620">
        <v>0.1</v>
      </c>
      <c r="F139" s="613"/>
      <c r="G139" s="15"/>
      <c r="H139" s="15"/>
      <c r="I139" s="15"/>
      <c r="J139" s="13"/>
    </row>
    <row r="140" spans="2:10" x14ac:dyDescent="0.2">
      <c r="B140" s="850"/>
      <c r="C140" s="20" t="s">
        <v>144</v>
      </c>
      <c r="D140" s="20"/>
      <c r="E140" s="620">
        <v>0.05</v>
      </c>
      <c r="F140" s="669">
        <v>0.1</v>
      </c>
      <c r="G140" s="7" t="s">
        <v>145</v>
      </c>
      <c r="H140" s="15"/>
      <c r="I140" s="15"/>
      <c r="J140" s="13"/>
    </row>
    <row r="141" spans="2:10" x14ac:dyDescent="0.2">
      <c r="B141" s="850"/>
      <c r="C141" s="20" t="s">
        <v>146</v>
      </c>
      <c r="D141" s="20"/>
      <c r="E141" s="620">
        <v>10</v>
      </c>
      <c r="F141" s="697" t="s">
        <v>8</v>
      </c>
      <c r="G141" s="15"/>
      <c r="H141" s="15"/>
      <c r="I141" s="15"/>
      <c r="J141" s="13"/>
    </row>
    <row r="142" spans="2:10" x14ac:dyDescent="0.2">
      <c r="B142" s="850"/>
      <c r="C142" s="20" t="s">
        <v>147</v>
      </c>
      <c r="D142" s="20"/>
      <c r="E142" s="663">
        <v>15</v>
      </c>
      <c r="F142" s="720" t="s">
        <v>8</v>
      </c>
      <c r="G142" s="15"/>
      <c r="H142" s="15"/>
      <c r="I142" s="15"/>
      <c r="J142" s="13"/>
    </row>
    <row r="143" spans="2:10" x14ac:dyDescent="0.2">
      <c r="B143" s="822"/>
      <c r="C143" s="865"/>
      <c r="D143" s="865"/>
      <c r="E143" s="865"/>
      <c r="F143" s="865"/>
      <c r="G143" s="865"/>
      <c r="H143" s="865"/>
      <c r="I143" s="865"/>
      <c r="J143" s="866"/>
    </row>
    <row r="144" spans="2:10" x14ac:dyDescent="0.2">
      <c r="B144" s="530" t="s">
        <v>148</v>
      </c>
      <c r="C144" s="20"/>
      <c r="D144" s="20"/>
      <c r="E144" s="664"/>
      <c r="F144" s="696"/>
      <c r="G144" s="561"/>
      <c r="H144" s="561"/>
      <c r="I144" s="561"/>
      <c r="J144" s="545"/>
    </row>
    <row r="145" spans="2:10" x14ac:dyDescent="0.2">
      <c r="B145" s="849"/>
      <c r="C145" s="20" t="s">
        <v>149</v>
      </c>
      <c r="D145" s="20"/>
      <c r="E145" s="620">
        <v>45</v>
      </c>
      <c r="F145" s="697" t="s">
        <v>8</v>
      </c>
      <c r="G145" s="15"/>
      <c r="H145" s="15"/>
      <c r="I145" s="15"/>
      <c r="J145" s="547"/>
    </row>
    <row r="146" spans="2:10" x14ac:dyDescent="0.2">
      <c r="B146" s="849"/>
      <c r="C146" s="20" t="s">
        <v>150</v>
      </c>
      <c r="D146" s="20"/>
      <c r="E146" s="620">
        <v>20</v>
      </c>
      <c r="F146" s="697" t="s">
        <v>8</v>
      </c>
      <c r="G146" s="15"/>
      <c r="H146" s="15"/>
      <c r="I146" s="15"/>
      <c r="J146" s="547"/>
    </row>
    <row r="147" spans="2:10" x14ac:dyDescent="0.2">
      <c r="B147" s="850"/>
      <c r="C147" s="20" t="s">
        <v>151</v>
      </c>
      <c r="D147" s="20"/>
      <c r="E147" s="665">
        <v>1500</v>
      </c>
      <c r="F147" s="568">
        <v>1</v>
      </c>
      <c r="G147" s="528" t="s">
        <v>152</v>
      </c>
      <c r="H147" s="565"/>
      <c r="I147" s="565"/>
      <c r="J147" s="551"/>
    </row>
    <row r="148" spans="2:10" x14ac:dyDescent="0.2">
      <c r="B148" s="822"/>
      <c r="C148" s="823"/>
      <c r="D148" s="823"/>
      <c r="E148" s="823"/>
      <c r="F148" s="823"/>
      <c r="G148" s="823"/>
      <c r="H148" s="823"/>
      <c r="I148" s="823"/>
      <c r="J148" s="824"/>
    </row>
    <row r="149" spans="2:10" x14ac:dyDescent="0.2">
      <c r="B149" s="530" t="s">
        <v>153</v>
      </c>
      <c r="C149" s="20"/>
      <c r="D149" s="20"/>
      <c r="E149" s="591" t="s">
        <v>45</v>
      </c>
      <c r="F149" s="15" t="s">
        <v>44</v>
      </c>
      <c r="G149" s="662" t="s">
        <v>73</v>
      </c>
      <c r="H149" s="15"/>
      <c r="I149" s="591"/>
      <c r="J149" s="13"/>
    </row>
    <row r="150" spans="2:10" x14ac:dyDescent="0.2">
      <c r="B150" s="849"/>
      <c r="C150" s="20" t="s">
        <v>154</v>
      </c>
      <c r="D150" s="20"/>
      <c r="E150" s="620">
        <v>2.61</v>
      </c>
      <c r="F150" s="15">
        <f>E44</f>
        <v>1520</v>
      </c>
      <c r="G150" s="721">
        <f>SUM(E150*F150)</f>
        <v>3967.2</v>
      </c>
      <c r="H150" s="21"/>
      <c r="I150" s="691"/>
      <c r="J150" s="13"/>
    </row>
    <row r="151" spans="2:10" x14ac:dyDescent="0.2">
      <c r="B151" s="849"/>
      <c r="C151" s="20"/>
      <c r="D151" s="20"/>
      <c r="E151" s="600"/>
      <c r="F151" s="15" t="s">
        <v>155</v>
      </c>
      <c r="G151" s="613" t="s">
        <v>156</v>
      </c>
      <c r="H151" s="7" t="s">
        <v>157</v>
      </c>
      <c r="I151" s="613" t="s">
        <v>158</v>
      </c>
      <c r="J151" s="13"/>
    </row>
    <row r="152" spans="2:10" x14ac:dyDescent="0.2">
      <c r="B152" s="849"/>
      <c r="C152" s="20" t="s">
        <v>159</v>
      </c>
      <c r="D152" s="20"/>
      <c r="E152" s="672"/>
      <c r="F152" s="31">
        <v>4.5</v>
      </c>
      <c r="G152" s="706">
        <f>IF(G50=0,0,(F152*(Results!F9/Results!H9)))</f>
        <v>0</v>
      </c>
      <c r="H152" s="33">
        <f>IF(G50=0,0,(I152/Results!H9)/1000)</f>
        <v>0</v>
      </c>
      <c r="I152" s="534">
        <v>400</v>
      </c>
      <c r="J152" s="13"/>
    </row>
    <row r="153" spans="2:10" x14ac:dyDescent="0.2">
      <c r="B153" s="850"/>
      <c r="C153" s="20"/>
      <c r="D153" s="20"/>
      <c r="E153" s="661"/>
      <c r="F153" s="15"/>
      <c r="G153" s="612"/>
      <c r="H153" s="15"/>
      <c r="I153" s="612"/>
      <c r="J153" s="13"/>
    </row>
    <row r="154" spans="2:10" x14ac:dyDescent="0.2">
      <c r="B154" s="822"/>
      <c r="C154" s="823"/>
      <c r="D154" s="823"/>
      <c r="E154" s="823"/>
      <c r="F154" s="823"/>
      <c r="G154" s="823"/>
      <c r="H154" s="823"/>
      <c r="I154" s="823"/>
      <c r="J154" s="824"/>
    </row>
    <row r="155" spans="2:10" x14ac:dyDescent="0.2">
      <c r="B155" s="530" t="s">
        <v>160</v>
      </c>
      <c r="C155" s="34" t="s">
        <v>68</v>
      </c>
      <c r="D155" s="34"/>
      <c r="E155" s="667">
        <f>E54</f>
        <v>1</v>
      </c>
      <c r="F155" s="15"/>
      <c r="G155" s="15"/>
      <c r="H155" s="15"/>
      <c r="I155" s="15"/>
      <c r="J155" s="13"/>
    </row>
    <row r="156" spans="2:10" x14ac:dyDescent="0.2">
      <c r="B156" s="849"/>
      <c r="C156" s="34" t="s">
        <v>161</v>
      </c>
      <c r="D156" s="34"/>
      <c r="E156" s="668">
        <f>SUM(E21/E54)</f>
        <v>160</v>
      </c>
      <c r="F156" s="15"/>
      <c r="G156" s="15"/>
      <c r="H156" s="15"/>
      <c r="I156" s="15"/>
      <c r="J156" s="13"/>
    </row>
    <row r="157" spans="2:10" x14ac:dyDescent="0.2">
      <c r="B157" s="849"/>
      <c r="C157" s="9" t="s">
        <v>162</v>
      </c>
      <c r="D157" s="20"/>
      <c r="E157" s="669">
        <v>0.1</v>
      </c>
      <c r="F157" s="15"/>
      <c r="G157" s="15"/>
      <c r="H157" s="15"/>
      <c r="I157" s="15"/>
      <c r="J157" s="13"/>
    </row>
    <row r="158" spans="2:10" x14ac:dyDescent="0.2">
      <c r="B158" s="849"/>
      <c r="C158" s="9" t="s">
        <v>163</v>
      </c>
      <c r="D158" s="20"/>
      <c r="E158" s="669">
        <v>0.35</v>
      </c>
      <c r="F158" s="15"/>
      <c r="G158" s="15"/>
      <c r="H158" s="15"/>
      <c r="I158" s="15"/>
      <c r="J158" s="13"/>
    </row>
    <row r="159" spans="2:10" x14ac:dyDescent="0.2">
      <c r="B159" s="849"/>
      <c r="C159" s="9" t="s">
        <v>164</v>
      </c>
      <c r="D159" s="20"/>
      <c r="E159" s="669">
        <v>0.05</v>
      </c>
      <c r="F159" s="15"/>
      <c r="G159" s="15"/>
      <c r="H159" s="15"/>
      <c r="I159" s="15"/>
      <c r="J159" s="13"/>
    </row>
    <row r="160" spans="2:10" x14ac:dyDescent="0.2">
      <c r="B160" s="849"/>
      <c r="C160" s="9" t="s">
        <v>165</v>
      </c>
      <c r="D160" s="20"/>
      <c r="E160" s="670">
        <f>SUM(1-E157-E158-E159)</f>
        <v>0.5</v>
      </c>
      <c r="F160" s="35"/>
      <c r="G160" s="15"/>
      <c r="H160" s="15"/>
      <c r="I160" s="15"/>
      <c r="J160" s="13"/>
    </row>
    <row r="161" spans="1:25" x14ac:dyDescent="0.2">
      <c r="B161" s="849"/>
      <c r="C161" s="9" t="s">
        <v>166</v>
      </c>
      <c r="D161" s="20"/>
      <c r="E161" s="552">
        <v>100000</v>
      </c>
      <c r="F161" s="15"/>
      <c r="G161" s="15"/>
      <c r="H161" s="9"/>
      <c r="I161" s="15"/>
      <c r="J161" s="13"/>
    </row>
    <row r="162" spans="1:25" x14ac:dyDescent="0.2">
      <c r="B162" s="852"/>
      <c r="C162" s="20"/>
      <c r="D162" s="20"/>
      <c r="E162" s="671"/>
      <c r="F162" s="15"/>
      <c r="G162" s="15"/>
      <c r="H162" s="9"/>
      <c r="I162" s="15"/>
      <c r="J162" s="13"/>
    </row>
    <row r="163" spans="1:25" x14ac:dyDescent="0.2">
      <c r="B163" s="822"/>
      <c r="C163" s="865"/>
      <c r="D163" s="865"/>
      <c r="E163" s="865"/>
      <c r="F163" s="865"/>
      <c r="G163" s="865"/>
      <c r="H163" s="865"/>
      <c r="I163" s="865"/>
      <c r="J163" s="866"/>
    </row>
    <row r="164" spans="1:25" x14ac:dyDescent="0.2">
      <c r="B164" s="604" t="s">
        <v>167</v>
      </c>
      <c r="C164" s="638" t="s">
        <v>70</v>
      </c>
      <c r="D164" s="626"/>
      <c r="E164" s="655" t="s">
        <v>8</v>
      </c>
      <c r="F164" s="741" t="s">
        <v>168</v>
      </c>
      <c r="G164" s="561" t="s">
        <v>169</v>
      </c>
      <c r="H164" s="591" t="s">
        <v>170</v>
      </c>
      <c r="I164" s="591" t="s">
        <v>99</v>
      </c>
      <c r="J164" s="591" t="s">
        <v>95</v>
      </c>
    </row>
    <row r="165" spans="1:25" x14ac:dyDescent="0.2">
      <c r="B165" s="867"/>
      <c r="C165" s="724" t="s">
        <v>116</v>
      </c>
      <c r="D165" s="745"/>
      <c r="E165" s="743">
        <f>E55</f>
        <v>80</v>
      </c>
      <c r="F165" s="534">
        <v>20</v>
      </c>
      <c r="G165" s="642">
        <v>215</v>
      </c>
      <c r="H165" s="714">
        <v>3</v>
      </c>
      <c r="I165" s="723">
        <v>9.75</v>
      </c>
      <c r="J165" s="717">
        <v>30.5</v>
      </c>
    </row>
    <row r="166" spans="1:25" x14ac:dyDescent="0.2">
      <c r="B166" s="867"/>
      <c r="C166" s="746"/>
      <c r="D166" s="747"/>
      <c r="E166" s="655" t="s">
        <v>8</v>
      </c>
      <c r="F166" s="591" t="s">
        <v>61</v>
      </c>
      <c r="G166" s="748"/>
      <c r="H166" s="725"/>
      <c r="I166" s="725"/>
      <c r="J166" s="613"/>
    </row>
    <row r="167" spans="1:25" x14ac:dyDescent="0.2">
      <c r="B167" s="867"/>
      <c r="C167" s="643" t="s">
        <v>171</v>
      </c>
      <c r="D167" s="615"/>
      <c r="E167" s="617">
        <f>SUM(E168-E165)</f>
        <v>80</v>
      </c>
      <c r="F167" s="552">
        <v>55</v>
      </c>
      <c r="G167" s="674" t="s">
        <v>172</v>
      </c>
      <c r="H167" s="613" t="s">
        <v>173</v>
      </c>
      <c r="I167" s="722" t="s">
        <v>61</v>
      </c>
      <c r="J167" s="613"/>
    </row>
    <row r="168" spans="1:25" x14ac:dyDescent="0.2">
      <c r="B168" s="867"/>
      <c r="C168" s="726" t="s">
        <v>174</v>
      </c>
      <c r="D168" s="572"/>
      <c r="E168" s="744">
        <v>160</v>
      </c>
      <c r="F168" s="720"/>
      <c r="G168" s="742">
        <v>670</v>
      </c>
      <c r="H168" s="637">
        <v>2.5</v>
      </c>
      <c r="I168" s="727">
        <v>80</v>
      </c>
      <c r="J168" s="613"/>
    </row>
    <row r="169" spans="1:25" x14ac:dyDescent="0.2">
      <c r="B169" s="849"/>
      <c r="C169" s="7" t="s">
        <v>175</v>
      </c>
      <c r="D169" s="9"/>
      <c r="E169" s="596">
        <v>1</v>
      </c>
      <c r="F169" s="675">
        <v>20000</v>
      </c>
      <c r="G169" s="697"/>
      <c r="H169" s="15"/>
      <c r="I169" s="613"/>
      <c r="J169" s="613"/>
    </row>
    <row r="170" spans="1:25" x14ac:dyDescent="0.2">
      <c r="B170" s="849"/>
      <c r="C170" s="20" t="s">
        <v>176</v>
      </c>
      <c r="D170" s="20"/>
      <c r="E170" s="552">
        <v>35</v>
      </c>
      <c r="F170" s="632" t="s">
        <v>92</v>
      </c>
      <c r="G170" s="613"/>
      <c r="H170" s="15"/>
      <c r="I170" s="613"/>
      <c r="J170" s="613"/>
    </row>
    <row r="171" spans="1:25" x14ac:dyDescent="0.2">
      <c r="B171" s="850"/>
      <c r="C171" s="20"/>
      <c r="D171" s="20"/>
      <c r="E171" s="613"/>
      <c r="F171" s="633"/>
      <c r="G171" s="612"/>
      <c r="H171" s="565"/>
      <c r="I171" s="612"/>
      <c r="J171" s="612"/>
    </row>
    <row r="172" spans="1:25" x14ac:dyDescent="0.2">
      <c r="B172" s="822"/>
      <c r="C172" s="865"/>
      <c r="D172" s="865"/>
      <c r="E172" s="865"/>
      <c r="F172" s="865"/>
      <c r="G172" s="865"/>
      <c r="H172" s="865"/>
      <c r="I172" s="865"/>
      <c r="J172" s="866"/>
    </row>
    <row r="173" spans="1:25" s="3" customFormat="1" x14ac:dyDescent="0.2">
      <c r="A173" s="812"/>
      <c r="B173" s="868"/>
      <c r="C173" s="868"/>
      <c r="D173" s="868"/>
      <c r="E173" s="868"/>
      <c r="F173" s="868"/>
      <c r="G173" s="868"/>
      <c r="H173" s="868"/>
      <c r="I173" s="868"/>
      <c r="J173" s="868"/>
      <c r="K173" s="812"/>
      <c r="W173" s="4"/>
      <c r="X173" s="4"/>
      <c r="Y173" s="4"/>
    </row>
    <row r="174" spans="1:25" x14ac:dyDescent="0.2">
      <c r="B174" s="868"/>
      <c r="C174" s="868"/>
      <c r="D174" s="868"/>
      <c r="E174" s="868"/>
      <c r="F174" s="868"/>
      <c r="G174" s="868"/>
      <c r="H174" s="868"/>
      <c r="I174" s="868"/>
      <c r="J174" s="868"/>
    </row>
    <row r="175" spans="1:25" x14ac:dyDescent="0.2">
      <c r="B175" s="868"/>
      <c r="C175" s="868"/>
      <c r="D175" s="868"/>
      <c r="E175" s="868"/>
      <c r="F175" s="868"/>
      <c r="G175" s="868"/>
      <c r="H175" s="868"/>
      <c r="I175" s="868"/>
      <c r="J175" s="868"/>
    </row>
    <row r="176" spans="1:25" x14ac:dyDescent="0.2">
      <c r="B176" s="868"/>
      <c r="C176" s="868"/>
      <c r="D176" s="868"/>
      <c r="E176" s="868"/>
      <c r="F176" s="868"/>
      <c r="G176" s="868"/>
      <c r="H176" s="868"/>
      <c r="I176" s="868"/>
      <c r="J176" s="868"/>
    </row>
    <row r="177" spans="2:10" x14ac:dyDescent="0.2">
      <c r="B177" s="868"/>
      <c r="C177" s="868"/>
      <c r="D177" s="868"/>
      <c r="E177" s="868"/>
      <c r="F177" s="868"/>
      <c r="G177" s="868"/>
      <c r="H177" s="868"/>
      <c r="I177" s="868"/>
      <c r="J177" s="868"/>
    </row>
    <row r="178" spans="2:10" x14ac:dyDescent="0.2">
      <c r="B178" s="868"/>
      <c r="C178" s="868"/>
      <c r="D178" s="868"/>
      <c r="E178" s="868"/>
      <c r="F178" s="868"/>
      <c r="G178" s="868"/>
      <c r="H178" s="868"/>
      <c r="I178" s="868"/>
      <c r="J178" s="868"/>
    </row>
    <row r="179" spans="2:10" x14ac:dyDescent="0.2">
      <c r="B179" s="868"/>
      <c r="C179" s="868"/>
      <c r="D179" s="868"/>
      <c r="E179" s="868"/>
      <c r="F179" s="868"/>
      <c r="G179" s="868"/>
      <c r="H179" s="868"/>
      <c r="I179" s="868"/>
      <c r="J179" s="868"/>
    </row>
    <row r="180" spans="2:10" x14ac:dyDescent="0.2">
      <c r="B180" s="868"/>
      <c r="C180" s="868"/>
      <c r="D180" s="868"/>
      <c r="E180" s="868"/>
      <c r="F180" s="868"/>
      <c r="G180" s="868"/>
      <c r="H180" s="868"/>
      <c r="I180" s="868"/>
      <c r="J180" s="868"/>
    </row>
    <row r="181" spans="2:10" x14ac:dyDescent="0.2">
      <c r="B181" s="868"/>
      <c r="C181" s="868"/>
      <c r="D181" s="868"/>
      <c r="E181" s="868"/>
      <c r="F181" s="868"/>
      <c r="G181" s="868"/>
      <c r="H181" s="868"/>
      <c r="I181" s="868"/>
      <c r="J181" s="868"/>
    </row>
    <row r="182" spans="2:10" x14ac:dyDescent="0.2">
      <c r="B182" s="868"/>
      <c r="C182" s="868"/>
      <c r="D182" s="868"/>
      <c r="E182" s="868"/>
      <c r="F182" s="868"/>
      <c r="G182" s="868"/>
      <c r="H182" s="868"/>
      <c r="I182" s="868"/>
      <c r="J182" s="868"/>
    </row>
    <row r="183" spans="2:10" x14ac:dyDescent="0.2">
      <c r="B183" s="868"/>
      <c r="C183" s="868"/>
      <c r="D183" s="868"/>
      <c r="E183" s="868"/>
      <c r="F183" s="868"/>
      <c r="G183" s="868"/>
      <c r="H183" s="868"/>
      <c r="I183" s="868"/>
      <c r="J183" s="868"/>
    </row>
    <row r="184" spans="2:10" x14ac:dyDescent="0.2">
      <c r="B184" s="868"/>
      <c r="C184" s="868"/>
      <c r="D184" s="868"/>
      <c r="E184" s="868"/>
      <c r="F184" s="868"/>
      <c r="G184" s="868"/>
      <c r="H184" s="868"/>
      <c r="I184" s="868"/>
      <c r="J184" s="868"/>
    </row>
    <row r="185" spans="2:10" x14ac:dyDescent="0.2">
      <c r="B185" s="868"/>
      <c r="C185" s="868"/>
      <c r="D185" s="868"/>
      <c r="E185" s="868"/>
      <c r="F185" s="868"/>
      <c r="G185" s="868"/>
      <c r="H185" s="868"/>
      <c r="I185" s="868"/>
      <c r="J185" s="868"/>
    </row>
    <row r="186" spans="2:10" x14ac:dyDescent="0.2">
      <c r="B186" s="868"/>
      <c r="C186" s="868"/>
      <c r="D186" s="868"/>
      <c r="E186" s="868"/>
      <c r="F186" s="868"/>
      <c r="G186" s="868"/>
      <c r="H186" s="868"/>
      <c r="I186" s="868"/>
      <c r="J186" s="868"/>
    </row>
    <row r="187" spans="2:10" x14ac:dyDescent="0.2">
      <c r="B187" s="868"/>
      <c r="C187" s="868"/>
      <c r="D187" s="868"/>
      <c r="E187" s="868"/>
      <c r="F187" s="868"/>
      <c r="G187" s="868"/>
      <c r="H187" s="868"/>
      <c r="I187" s="868"/>
      <c r="J187" s="868"/>
    </row>
    <row r="188" spans="2:10" x14ac:dyDescent="0.2">
      <c r="B188" s="868"/>
      <c r="C188" s="868"/>
      <c r="D188" s="868"/>
      <c r="E188" s="868"/>
      <c r="F188" s="868"/>
      <c r="G188" s="868"/>
      <c r="H188" s="868"/>
      <c r="I188" s="868"/>
      <c r="J188" s="868"/>
    </row>
    <row r="189" spans="2:10" x14ac:dyDescent="0.2">
      <c r="B189" s="868"/>
      <c r="C189" s="868"/>
      <c r="D189" s="868"/>
      <c r="E189" s="868"/>
      <c r="F189" s="868"/>
      <c r="G189" s="868"/>
      <c r="H189" s="868"/>
      <c r="I189" s="868"/>
      <c r="J189" s="868"/>
    </row>
    <row r="190" spans="2:10" x14ac:dyDescent="0.2">
      <c r="B190" s="868"/>
      <c r="C190" s="868"/>
      <c r="D190" s="868"/>
      <c r="E190" s="868"/>
      <c r="F190" s="868"/>
      <c r="G190" s="868"/>
      <c r="H190" s="868"/>
      <c r="I190" s="868"/>
      <c r="J190" s="868"/>
    </row>
    <row r="191" spans="2:10" x14ac:dyDescent="0.2">
      <c r="B191" s="868"/>
      <c r="C191" s="868"/>
      <c r="D191" s="868"/>
      <c r="E191" s="868"/>
      <c r="F191" s="868"/>
      <c r="G191" s="868"/>
      <c r="H191" s="868"/>
      <c r="I191" s="868"/>
      <c r="J191" s="868"/>
    </row>
    <row r="192" spans="2:10" x14ac:dyDescent="0.2">
      <c r="B192" s="868"/>
      <c r="C192" s="868"/>
      <c r="D192" s="868"/>
      <c r="E192" s="868"/>
      <c r="F192" s="868"/>
      <c r="G192" s="868"/>
      <c r="H192" s="868"/>
      <c r="I192" s="868"/>
      <c r="J192" s="868"/>
    </row>
    <row r="193" spans="2:10" x14ac:dyDescent="0.2">
      <c r="B193" s="868"/>
      <c r="C193" s="868"/>
      <c r="D193" s="868"/>
      <c r="E193" s="868"/>
      <c r="F193" s="868"/>
      <c r="G193" s="868"/>
      <c r="H193" s="868"/>
      <c r="I193" s="868"/>
      <c r="J193" s="868"/>
    </row>
    <row r="194" spans="2:10" x14ac:dyDescent="0.2">
      <c r="B194" s="868"/>
      <c r="C194" s="868"/>
      <c r="D194" s="868"/>
      <c r="E194" s="868"/>
      <c r="F194" s="868"/>
      <c r="G194" s="868"/>
      <c r="H194" s="868"/>
      <c r="I194" s="868"/>
      <c r="J194" s="868"/>
    </row>
    <row r="195" spans="2:10" x14ac:dyDescent="0.2">
      <c r="B195" s="868"/>
      <c r="C195" s="868"/>
      <c r="D195" s="868"/>
      <c r="E195" s="868"/>
      <c r="F195" s="868"/>
      <c r="G195" s="868"/>
      <c r="H195" s="868"/>
      <c r="I195" s="868"/>
      <c r="J195" s="868"/>
    </row>
    <row r="196" spans="2:10" x14ac:dyDescent="0.2">
      <c r="B196" s="868"/>
      <c r="C196" s="868"/>
      <c r="D196" s="868"/>
      <c r="E196" s="868"/>
      <c r="F196" s="868"/>
      <c r="G196" s="868"/>
      <c r="H196" s="868"/>
      <c r="I196" s="868"/>
      <c r="J196" s="868"/>
    </row>
    <row r="197" spans="2:10" x14ac:dyDescent="0.2">
      <c r="B197" s="868"/>
      <c r="C197" s="868"/>
      <c r="D197" s="868"/>
      <c r="E197" s="868"/>
      <c r="F197" s="868"/>
      <c r="G197" s="868"/>
      <c r="H197" s="868"/>
      <c r="I197" s="868"/>
      <c r="J197" s="868"/>
    </row>
    <row r="198" spans="2:10" x14ac:dyDescent="0.2">
      <c r="B198" s="868"/>
      <c r="C198" s="868"/>
      <c r="D198" s="868"/>
      <c r="E198" s="868"/>
      <c r="F198" s="868"/>
      <c r="G198" s="868"/>
      <c r="H198" s="868"/>
      <c r="I198" s="868"/>
      <c r="J198" s="868"/>
    </row>
    <row r="199" spans="2:10" x14ac:dyDescent="0.2">
      <c r="B199" s="868"/>
      <c r="C199" s="868"/>
      <c r="D199" s="868"/>
      <c r="E199" s="868"/>
      <c r="F199" s="868"/>
      <c r="G199" s="868"/>
      <c r="H199" s="868"/>
      <c r="I199" s="868"/>
      <c r="J199" s="868"/>
    </row>
    <row r="200" spans="2:10" x14ac:dyDescent="0.2">
      <c r="B200" s="868"/>
      <c r="C200" s="868"/>
      <c r="D200" s="868"/>
      <c r="E200" s="868"/>
      <c r="F200" s="868"/>
      <c r="G200" s="868"/>
      <c r="H200" s="868"/>
      <c r="I200" s="868"/>
      <c r="J200" s="868"/>
    </row>
    <row r="201" spans="2:10" x14ac:dyDescent="0.2">
      <c r="B201" s="868"/>
      <c r="C201" s="868"/>
      <c r="D201" s="868"/>
      <c r="E201" s="868"/>
      <c r="F201" s="868"/>
      <c r="G201" s="868"/>
      <c r="H201" s="868"/>
      <c r="I201" s="868"/>
      <c r="J201" s="868"/>
    </row>
    <row r="202" spans="2:10" x14ac:dyDescent="0.2">
      <c r="B202" s="868"/>
      <c r="C202" s="868"/>
      <c r="D202" s="868"/>
      <c r="E202" s="868"/>
      <c r="F202" s="868"/>
      <c r="G202" s="868"/>
      <c r="H202" s="868"/>
      <c r="I202" s="868"/>
      <c r="J202" s="868"/>
    </row>
    <row r="203" spans="2:10" x14ac:dyDescent="0.2">
      <c r="B203" s="868"/>
      <c r="C203" s="868"/>
      <c r="D203" s="868"/>
      <c r="E203" s="868"/>
      <c r="F203" s="868"/>
      <c r="G203" s="868"/>
      <c r="H203" s="868"/>
      <c r="I203" s="868"/>
      <c r="J203" s="868"/>
    </row>
    <row r="204" spans="2:10" x14ac:dyDescent="0.2">
      <c r="B204" s="868"/>
      <c r="C204" s="868"/>
      <c r="D204" s="868"/>
      <c r="E204" s="868"/>
      <c r="F204" s="868"/>
      <c r="G204" s="868"/>
      <c r="H204" s="868"/>
      <c r="I204" s="868"/>
      <c r="J204" s="868"/>
    </row>
    <row r="205" spans="2:10" x14ac:dyDescent="0.2">
      <c r="B205" s="868"/>
      <c r="C205" s="868"/>
      <c r="D205" s="868"/>
      <c r="E205" s="868"/>
      <c r="F205" s="868"/>
      <c r="G205" s="868"/>
      <c r="H205" s="868"/>
      <c r="I205" s="868"/>
      <c r="J205" s="868"/>
    </row>
    <row r="206" spans="2:10" x14ac:dyDescent="0.2">
      <c r="B206" s="868"/>
      <c r="C206" s="868"/>
      <c r="D206" s="868"/>
      <c r="E206" s="868"/>
      <c r="F206" s="868"/>
      <c r="G206" s="868"/>
      <c r="H206" s="868"/>
      <c r="I206" s="868"/>
      <c r="J206" s="868"/>
    </row>
    <row r="207" spans="2:10" x14ac:dyDescent="0.2">
      <c r="B207" s="868"/>
      <c r="C207" s="868"/>
      <c r="D207" s="868"/>
      <c r="E207" s="868"/>
      <c r="F207" s="868"/>
      <c r="G207" s="868"/>
      <c r="H207" s="868"/>
      <c r="I207" s="868"/>
      <c r="J207" s="868"/>
    </row>
    <row r="208" spans="2:10" x14ac:dyDescent="0.2">
      <c r="B208" s="868"/>
      <c r="C208" s="868"/>
      <c r="D208" s="868"/>
      <c r="E208" s="868"/>
      <c r="F208" s="868"/>
      <c r="G208" s="868"/>
      <c r="H208" s="868"/>
      <c r="I208" s="868"/>
      <c r="J208" s="868"/>
    </row>
    <row r="209" spans="2:10" x14ac:dyDescent="0.2">
      <c r="B209" s="868"/>
      <c r="C209" s="868"/>
      <c r="D209" s="868"/>
      <c r="E209" s="868"/>
      <c r="F209" s="868"/>
      <c r="G209" s="868"/>
      <c r="H209" s="868"/>
      <c r="I209" s="868"/>
      <c r="J209" s="868"/>
    </row>
    <row r="210" spans="2:10" x14ac:dyDescent="0.2">
      <c r="B210" s="868"/>
      <c r="C210" s="868"/>
      <c r="D210" s="868"/>
      <c r="E210" s="868"/>
      <c r="F210" s="868"/>
      <c r="G210" s="868"/>
      <c r="H210" s="868"/>
      <c r="I210" s="868"/>
      <c r="J210" s="868"/>
    </row>
    <row r="211" spans="2:10" x14ac:dyDescent="0.2">
      <c r="B211" s="868"/>
      <c r="C211" s="868"/>
      <c r="D211" s="868"/>
      <c r="E211" s="868"/>
      <c r="F211" s="868"/>
      <c r="G211" s="868"/>
      <c r="H211" s="868"/>
      <c r="I211" s="868"/>
      <c r="J211" s="868"/>
    </row>
    <row r="212" spans="2:10" x14ac:dyDescent="0.2">
      <c r="B212" s="868"/>
      <c r="C212" s="868"/>
      <c r="D212" s="868"/>
      <c r="E212" s="868"/>
      <c r="F212" s="868"/>
      <c r="G212" s="868"/>
      <c r="H212" s="868"/>
      <c r="I212" s="868"/>
      <c r="J212" s="868"/>
    </row>
    <row r="213" spans="2:10" x14ac:dyDescent="0.2">
      <c r="B213" s="868"/>
      <c r="C213" s="868"/>
      <c r="D213" s="868"/>
      <c r="E213" s="868"/>
      <c r="F213" s="868"/>
      <c r="G213" s="868"/>
      <c r="H213" s="868"/>
      <c r="I213" s="868"/>
      <c r="J213" s="868"/>
    </row>
    <row r="214" spans="2:10" x14ac:dyDescent="0.2">
      <c r="B214" s="868"/>
      <c r="C214" s="868"/>
      <c r="D214" s="868"/>
      <c r="E214" s="868"/>
      <c r="F214" s="868"/>
      <c r="G214" s="868"/>
      <c r="H214" s="868"/>
      <c r="I214" s="868"/>
      <c r="J214" s="868"/>
    </row>
    <row r="215" spans="2:10" x14ac:dyDescent="0.2">
      <c r="B215" s="868"/>
      <c r="C215" s="868"/>
      <c r="D215" s="868"/>
      <c r="E215" s="868"/>
      <c r="F215" s="868"/>
      <c r="G215" s="868"/>
      <c r="H215" s="868"/>
      <c r="I215" s="868"/>
      <c r="J215" s="868"/>
    </row>
    <row r="216" spans="2:10" x14ac:dyDescent="0.2">
      <c r="B216" s="868"/>
      <c r="C216" s="868"/>
      <c r="D216" s="868"/>
      <c r="E216" s="868"/>
      <c r="F216" s="868"/>
      <c r="G216" s="868"/>
      <c r="H216" s="868"/>
      <c r="I216" s="868"/>
      <c r="J216" s="868"/>
    </row>
    <row r="217" spans="2:10" x14ac:dyDescent="0.2">
      <c r="B217" s="868"/>
      <c r="C217" s="868"/>
      <c r="D217" s="868"/>
      <c r="E217" s="868"/>
      <c r="F217" s="868"/>
      <c r="G217" s="868"/>
      <c r="H217" s="868"/>
      <c r="I217" s="868"/>
      <c r="J217" s="868"/>
    </row>
    <row r="218" spans="2:10" x14ac:dyDescent="0.2">
      <c r="B218" s="868"/>
      <c r="C218" s="868"/>
      <c r="D218" s="868"/>
      <c r="E218" s="868"/>
      <c r="F218" s="868"/>
      <c r="G218" s="868"/>
      <c r="H218" s="868"/>
      <c r="I218" s="868"/>
      <c r="J218" s="868"/>
    </row>
    <row r="219" spans="2:10" x14ac:dyDescent="0.2">
      <c r="B219" s="868"/>
      <c r="C219" s="868"/>
      <c r="D219" s="868"/>
      <c r="E219" s="868"/>
      <c r="F219" s="868"/>
      <c r="G219" s="868"/>
      <c r="H219" s="868"/>
      <c r="I219" s="868"/>
      <c r="J219" s="868"/>
    </row>
    <row r="220" spans="2:10" x14ac:dyDescent="0.2">
      <c r="B220" s="868"/>
      <c r="C220" s="868"/>
      <c r="D220" s="868"/>
      <c r="E220" s="868"/>
      <c r="F220" s="868"/>
      <c r="G220" s="868"/>
      <c r="H220" s="868"/>
      <c r="I220" s="868"/>
      <c r="J220" s="868"/>
    </row>
    <row r="221" spans="2:10" x14ac:dyDescent="0.2">
      <c r="B221" s="868"/>
      <c r="C221" s="868"/>
      <c r="D221" s="868"/>
      <c r="E221" s="868"/>
      <c r="F221" s="868"/>
      <c r="G221" s="868"/>
      <c r="H221" s="868"/>
      <c r="I221" s="868"/>
      <c r="J221" s="868"/>
    </row>
    <row r="222" spans="2:10" x14ac:dyDescent="0.2">
      <c r="B222" s="868"/>
      <c r="C222" s="868"/>
      <c r="D222" s="868"/>
      <c r="E222" s="868"/>
      <c r="F222" s="868"/>
      <c r="G222" s="868"/>
      <c r="H222" s="868"/>
      <c r="I222" s="868"/>
      <c r="J222" s="868"/>
    </row>
    <row r="223" spans="2:10" x14ac:dyDescent="0.2">
      <c r="B223" s="868"/>
      <c r="C223" s="868"/>
      <c r="D223" s="868"/>
      <c r="E223" s="868"/>
      <c r="F223" s="868"/>
      <c r="G223" s="868"/>
      <c r="H223" s="868"/>
      <c r="I223" s="868"/>
      <c r="J223" s="868"/>
    </row>
    <row r="224" spans="2:10" x14ac:dyDescent="0.2">
      <c r="B224" s="868"/>
      <c r="C224" s="868"/>
      <c r="D224" s="868"/>
      <c r="E224" s="868"/>
      <c r="F224" s="868"/>
      <c r="G224" s="868"/>
      <c r="H224" s="868"/>
      <c r="I224" s="868"/>
      <c r="J224" s="868"/>
    </row>
    <row r="225" spans="2:10" x14ac:dyDescent="0.2">
      <c r="B225" s="868"/>
      <c r="C225" s="868"/>
      <c r="D225" s="868"/>
      <c r="E225" s="868"/>
      <c r="F225" s="868"/>
      <c r="G225" s="868"/>
      <c r="H225" s="868"/>
      <c r="I225" s="868"/>
      <c r="J225" s="868"/>
    </row>
    <row r="226" spans="2:10" x14ac:dyDescent="0.2">
      <c r="B226" s="868"/>
      <c r="C226" s="868"/>
      <c r="D226" s="868"/>
      <c r="E226" s="868"/>
      <c r="F226" s="868"/>
      <c r="G226" s="868"/>
      <c r="H226" s="868"/>
      <c r="I226" s="868"/>
      <c r="J226" s="868"/>
    </row>
    <row r="227" spans="2:10" x14ac:dyDescent="0.2">
      <c r="B227" s="868"/>
      <c r="C227" s="868"/>
      <c r="D227" s="868"/>
      <c r="E227" s="868"/>
      <c r="F227" s="868"/>
      <c r="G227" s="868"/>
      <c r="H227" s="868"/>
      <c r="I227" s="868"/>
      <c r="J227" s="868"/>
    </row>
    <row r="228" spans="2:10" x14ac:dyDescent="0.2">
      <c r="B228" s="868"/>
      <c r="C228" s="868"/>
      <c r="D228" s="868"/>
      <c r="E228" s="868"/>
      <c r="F228" s="868"/>
      <c r="G228" s="868"/>
      <c r="H228" s="868"/>
      <c r="I228" s="868"/>
      <c r="J228" s="868"/>
    </row>
    <row r="229" spans="2:10" x14ac:dyDescent="0.2">
      <c r="B229" s="868"/>
      <c r="C229" s="868"/>
      <c r="D229" s="868"/>
      <c r="E229" s="868"/>
      <c r="F229" s="868"/>
      <c r="G229" s="868"/>
      <c r="H229" s="868"/>
      <c r="I229" s="868"/>
      <c r="J229" s="868"/>
    </row>
    <row r="230" spans="2:10" x14ac:dyDescent="0.2">
      <c r="B230" s="868"/>
      <c r="C230" s="868"/>
      <c r="D230" s="868"/>
      <c r="E230" s="868"/>
      <c r="F230" s="868"/>
      <c r="G230" s="868"/>
      <c r="H230" s="868"/>
      <c r="I230" s="868"/>
      <c r="J230" s="868"/>
    </row>
    <row r="231" spans="2:10" x14ac:dyDescent="0.2">
      <c r="B231" s="868"/>
      <c r="C231" s="868"/>
      <c r="D231" s="868"/>
      <c r="E231" s="868"/>
      <c r="F231" s="868"/>
      <c r="G231" s="868"/>
      <c r="H231" s="868"/>
      <c r="I231" s="868"/>
      <c r="J231" s="868"/>
    </row>
    <row r="232" spans="2:10" x14ac:dyDescent="0.2">
      <c r="B232" s="868"/>
      <c r="C232" s="868"/>
      <c r="D232" s="868"/>
      <c r="E232" s="868"/>
      <c r="F232" s="868"/>
      <c r="G232" s="868"/>
      <c r="H232" s="868"/>
      <c r="I232" s="868"/>
      <c r="J232" s="868"/>
    </row>
    <row r="233" spans="2:10" x14ac:dyDescent="0.2">
      <c r="B233" s="868"/>
      <c r="C233" s="868"/>
      <c r="D233" s="868"/>
      <c r="E233" s="868"/>
      <c r="F233" s="868"/>
      <c r="G233" s="868"/>
      <c r="H233" s="868"/>
      <c r="I233" s="868"/>
      <c r="J233" s="868"/>
    </row>
    <row r="234" spans="2:10" x14ac:dyDescent="0.2">
      <c r="B234" s="868"/>
      <c r="C234" s="868"/>
      <c r="D234" s="868"/>
      <c r="E234" s="868"/>
      <c r="F234" s="868"/>
      <c r="G234" s="868"/>
      <c r="H234" s="868"/>
      <c r="I234" s="868"/>
      <c r="J234" s="868"/>
    </row>
    <row r="235" spans="2:10" x14ac:dyDescent="0.2">
      <c r="B235" s="868"/>
      <c r="C235" s="868"/>
      <c r="D235" s="868"/>
      <c r="E235" s="868"/>
      <c r="F235" s="868"/>
      <c r="G235" s="868"/>
      <c r="H235" s="868"/>
      <c r="I235" s="868"/>
      <c r="J235" s="868"/>
    </row>
    <row r="236" spans="2:10" x14ac:dyDescent="0.2">
      <c r="B236" s="868"/>
      <c r="C236" s="868"/>
      <c r="D236" s="868"/>
      <c r="E236" s="868"/>
      <c r="F236" s="868"/>
      <c r="G236" s="868"/>
      <c r="H236" s="868"/>
      <c r="I236" s="868"/>
      <c r="J236" s="868"/>
    </row>
    <row r="237" spans="2:10" x14ac:dyDescent="0.2">
      <c r="B237" s="868"/>
      <c r="C237" s="868"/>
      <c r="D237" s="868"/>
      <c r="E237" s="868"/>
      <c r="F237" s="868"/>
      <c r="G237" s="868"/>
      <c r="H237" s="868"/>
      <c r="I237" s="868"/>
      <c r="J237" s="868"/>
    </row>
    <row r="238" spans="2:10" x14ac:dyDescent="0.2">
      <c r="B238" s="868"/>
      <c r="C238" s="868"/>
      <c r="D238" s="868"/>
      <c r="E238" s="868"/>
      <c r="F238" s="868"/>
      <c r="G238" s="868"/>
      <c r="H238" s="868"/>
      <c r="I238" s="868"/>
      <c r="J238" s="868"/>
    </row>
    <row r="239" spans="2:10" x14ac:dyDescent="0.2">
      <c r="B239" s="868"/>
      <c r="C239" s="868"/>
      <c r="D239" s="868"/>
      <c r="E239" s="868"/>
      <c r="F239" s="868"/>
      <c r="G239" s="868"/>
      <c r="H239" s="868"/>
      <c r="I239" s="868"/>
      <c r="J239" s="868"/>
    </row>
    <row r="240" spans="2:10" x14ac:dyDescent="0.2">
      <c r="B240" s="868"/>
      <c r="C240" s="868"/>
      <c r="D240" s="868"/>
      <c r="E240" s="868"/>
      <c r="F240" s="868"/>
      <c r="G240" s="868"/>
      <c r="H240" s="868"/>
      <c r="I240" s="868"/>
      <c r="J240" s="868"/>
    </row>
    <row r="241" spans="2:10" x14ac:dyDescent="0.2">
      <c r="B241" s="868"/>
      <c r="C241" s="868"/>
      <c r="D241" s="868"/>
      <c r="E241" s="868"/>
      <c r="F241" s="868"/>
      <c r="G241" s="868"/>
      <c r="H241" s="868"/>
      <c r="I241" s="868"/>
      <c r="J241" s="868"/>
    </row>
    <row r="242" spans="2:10" x14ac:dyDescent="0.2">
      <c r="B242" s="868"/>
      <c r="C242" s="868"/>
      <c r="D242" s="868"/>
      <c r="E242" s="868"/>
      <c r="F242" s="868"/>
      <c r="G242" s="868"/>
      <c r="H242" s="868"/>
      <c r="I242" s="868"/>
      <c r="J242" s="868"/>
    </row>
    <row r="243" spans="2:10" x14ac:dyDescent="0.2">
      <c r="B243" s="868"/>
      <c r="C243" s="868"/>
      <c r="D243" s="868"/>
      <c r="E243" s="868"/>
      <c r="F243" s="868"/>
      <c r="G243" s="868"/>
      <c r="H243" s="868"/>
      <c r="I243" s="868"/>
      <c r="J243" s="868"/>
    </row>
    <row r="244" spans="2:10" x14ac:dyDescent="0.2">
      <c r="B244" s="868"/>
      <c r="C244" s="868"/>
      <c r="D244" s="868"/>
      <c r="E244" s="868"/>
      <c r="F244" s="868"/>
      <c r="G244" s="868"/>
      <c r="H244" s="868"/>
      <c r="I244" s="868"/>
      <c r="J244" s="868"/>
    </row>
    <row r="245" spans="2:10" x14ac:dyDescent="0.2">
      <c r="B245" s="868"/>
      <c r="C245" s="868"/>
      <c r="D245" s="868"/>
      <c r="E245" s="868"/>
      <c r="F245" s="868"/>
      <c r="G245" s="868"/>
      <c r="H245" s="868"/>
      <c r="I245" s="868"/>
      <c r="J245" s="868"/>
    </row>
    <row r="246" spans="2:10" x14ac:dyDescent="0.2">
      <c r="B246" s="868"/>
      <c r="C246" s="868"/>
      <c r="D246" s="868"/>
      <c r="E246" s="868"/>
      <c r="F246" s="868"/>
      <c r="G246" s="868"/>
      <c r="H246" s="868"/>
      <c r="I246" s="868"/>
      <c r="J246" s="868"/>
    </row>
    <row r="247" spans="2:10" x14ac:dyDescent="0.2">
      <c r="B247" s="868"/>
      <c r="C247" s="868"/>
      <c r="D247" s="868"/>
      <c r="E247" s="868"/>
      <c r="F247" s="868"/>
      <c r="G247" s="868"/>
      <c r="H247" s="868"/>
      <c r="I247" s="868"/>
      <c r="J247" s="868"/>
    </row>
  </sheetData>
  <sheetProtection password="8376" sheet="1" objects="1" scenarios="1"/>
  <mergeCells count="51">
    <mergeCell ref="B143:J143"/>
    <mergeCell ref="B165:B171"/>
    <mergeCell ref="B172:J172"/>
    <mergeCell ref="B173:J247"/>
    <mergeCell ref="B145:B147"/>
    <mergeCell ref="B148:J148"/>
    <mergeCell ref="B150:B153"/>
    <mergeCell ref="B154:J154"/>
    <mergeCell ref="B156:B162"/>
    <mergeCell ref="B163:J163"/>
    <mergeCell ref="B128:J128"/>
    <mergeCell ref="B130:B132"/>
    <mergeCell ref="B134:B135"/>
    <mergeCell ref="B136:J136"/>
    <mergeCell ref="B138:B142"/>
    <mergeCell ref="B100:B105"/>
    <mergeCell ref="B106:B112"/>
    <mergeCell ref="B113:B117"/>
    <mergeCell ref="B118:B122"/>
    <mergeCell ref="B123:B124"/>
    <mergeCell ref="B85:B95"/>
    <mergeCell ref="B56:J56"/>
    <mergeCell ref="B79:J79"/>
    <mergeCell ref="B57:B58"/>
    <mergeCell ref="B98:J98"/>
    <mergeCell ref="B53:J53"/>
    <mergeCell ref="B60:B70"/>
    <mergeCell ref="B72:B78"/>
    <mergeCell ref="B81:B82"/>
    <mergeCell ref="B83:J83"/>
    <mergeCell ref="B32:J32"/>
    <mergeCell ref="B34:B44"/>
    <mergeCell ref="I42:I43"/>
    <mergeCell ref="B45:J45"/>
    <mergeCell ref="B47:B52"/>
    <mergeCell ref="A1:A1048576"/>
    <mergeCell ref="B1:J1"/>
    <mergeCell ref="K1:K1048576"/>
    <mergeCell ref="B2:J3"/>
    <mergeCell ref="B4:J4"/>
    <mergeCell ref="B5:J5"/>
    <mergeCell ref="D6:F6"/>
    <mergeCell ref="G6:J6"/>
    <mergeCell ref="B7:J7"/>
    <mergeCell ref="C8:H8"/>
    <mergeCell ref="I8:J8"/>
    <mergeCell ref="B9:J9"/>
    <mergeCell ref="B10:B14"/>
    <mergeCell ref="B15:B19"/>
    <mergeCell ref="B22:B28"/>
    <mergeCell ref="B29:B31"/>
  </mergeCells>
  <pageMargins left="0.44930555555555557" right="0.27569444444444446" top="0.46458333333333335" bottom="0.21875" header="0.51180555555555551" footer="0.51180555555555551"/>
  <pageSetup paperSize="9" orientation="portrait" useFirstPageNumber="1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283"/>
  <sheetViews>
    <sheetView tabSelected="1" topLeftCell="A74" zoomScaleSheetLayoutView="100" workbookViewId="0">
      <selection activeCell="E39" sqref="E39"/>
    </sheetView>
  </sheetViews>
  <sheetFormatPr defaultColWidth="11.5703125" defaultRowHeight="12.75" x14ac:dyDescent="0.2"/>
  <cols>
    <col min="1" max="1" width="33.42578125" style="869" customWidth="1"/>
    <col min="2" max="2" width="24.85546875" customWidth="1"/>
    <col min="3" max="3" width="56" customWidth="1"/>
    <col min="4" max="4" width="10.7109375" customWidth="1"/>
    <col min="5" max="5" width="11.85546875" customWidth="1"/>
    <col min="6" max="6" width="51.140625" style="869" customWidth="1"/>
    <col min="7" max="7" width="20.85546875" style="869" customWidth="1"/>
    <col min="8" max="8" width="15.42578125" style="869" customWidth="1"/>
    <col min="9" max="9" width="5.28515625" style="36" customWidth="1"/>
    <col min="10" max="18" width="11.5703125" style="1"/>
    <col min="19" max="19" width="5.28515625" style="36" customWidth="1"/>
    <col min="20" max="28" width="11.5703125" style="1"/>
    <col min="29" max="29" width="5.28515625" style="36" customWidth="1"/>
    <col min="30" max="38" width="11.5703125" style="1"/>
    <col min="39" max="39" width="5.28515625" style="36" customWidth="1"/>
    <col min="40" max="48" width="11.5703125" style="1"/>
    <col min="49" max="49" width="5.28515625" style="36" customWidth="1"/>
    <col min="50" max="58" width="11.5703125" style="1"/>
    <col min="59" max="59" width="5.28515625" style="36" customWidth="1"/>
    <col min="60" max="68" width="11.5703125" style="1"/>
    <col min="69" max="69" width="5.28515625" style="36" customWidth="1"/>
    <col min="70" max="78" width="11.5703125" style="1"/>
    <col min="79" max="79" width="5.28515625" style="36" customWidth="1"/>
    <col min="80" max="88" width="11.5703125" style="1"/>
    <col min="89" max="89" width="5.28515625" style="36" customWidth="1"/>
    <col min="90" max="98" width="11.5703125" style="1"/>
    <col min="99" max="99" width="5.28515625" style="36" customWidth="1"/>
    <col min="100" max="108" width="11.5703125" style="1"/>
    <col min="109" max="109" width="5.28515625" style="36" customWidth="1"/>
    <col min="110" max="118" width="11.5703125" style="1"/>
    <col min="119" max="119" width="5.28515625" style="36" customWidth="1"/>
  </cols>
  <sheetData>
    <row r="1" spans="2:118" x14ac:dyDescent="0.2">
      <c r="B1" s="870" t="s">
        <v>177</v>
      </c>
      <c r="C1" s="871"/>
      <c r="D1" s="871"/>
      <c r="E1" s="872"/>
      <c r="J1" s="876" t="s">
        <v>178</v>
      </c>
      <c r="K1" s="876"/>
      <c r="L1" s="876"/>
      <c r="M1" s="876"/>
      <c r="N1" s="876"/>
      <c r="O1" s="876"/>
      <c r="P1" s="876"/>
      <c r="Q1" s="876"/>
      <c r="R1" s="876"/>
      <c r="T1" s="876" t="s">
        <v>178</v>
      </c>
      <c r="U1" s="876"/>
      <c r="V1" s="876"/>
      <c r="W1" s="876"/>
      <c r="X1" s="876"/>
      <c r="Y1" s="876"/>
      <c r="Z1" s="876"/>
      <c r="AA1" s="876"/>
      <c r="AB1" s="876"/>
      <c r="AD1" s="876" t="s">
        <v>178</v>
      </c>
      <c r="AE1" s="876"/>
      <c r="AF1" s="876"/>
      <c r="AG1" s="876"/>
      <c r="AH1" s="876"/>
      <c r="AI1" s="876"/>
      <c r="AJ1" s="876"/>
      <c r="AK1" s="876"/>
      <c r="AL1" s="876"/>
      <c r="AN1" s="876" t="s">
        <v>178</v>
      </c>
      <c r="AO1" s="876"/>
      <c r="AP1" s="876"/>
      <c r="AQ1" s="876"/>
      <c r="AR1" s="876"/>
      <c r="AS1" s="876"/>
      <c r="AT1" s="876"/>
      <c r="AU1" s="876"/>
      <c r="AV1" s="876"/>
      <c r="AX1" s="876" t="s">
        <v>178</v>
      </c>
      <c r="AY1" s="876"/>
      <c r="AZ1" s="876"/>
      <c r="BA1" s="876"/>
      <c r="BB1" s="876"/>
      <c r="BC1" s="876"/>
      <c r="BD1" s="876"/>
      <c r="BE1" s="876"/>
      <c r="BF1" s="876"/>
      <c r="BH1" s="876" t="s">
        <v>178</v>
      </c>
      <c r="BI1" s="876"/>
      <c r="BJ1" s="876"/>
      <c r="BK1" s="876"/>
      <c r="BL1" s="876"/>
      <c r="BM1" s="876"/>
      <c r="BN1" s="876"/>
      <c r="BO1" s="876"/>
      <c r="BP1" s="876"/>
      <c r="BR1" s="876" t="s">
        <v>178</v>
      </c>
      <c r="BS1" s="876"/>
      <c r="BT1" s="876"/>
      <c r="BU1" s="876"/>
      <c r="BV1" s="876"/>
      <c r="BW1" s="876"/>
      <c r="BX1" s="876"/>
      <c r="BY1" s="876"/>
      <c r="BZ1" s="876"/>
      <c r="CB1" s="876" t="s">
        <v>178</v>
      </c>
      <c r="CC1" s="876"/>
      <c r="CD1" s="876"/>
      <c r="CE1" s="876"/>
      <c r="CF1" s="876"/>
      <c r="CG1" s="876"/>
      <c r="CH1" s="876"/>
      <c r="CI1" s="876"/>
      <c r="CJ1" s="876"/>
      <c r="CL1" s="876" t="s">
        <v>178</v>
      </c>
      <c r="CM1" s="876"/>
      <c r="CN1" s="876"/>
      <c r="CO1" s="876"/>
      <c r="CP1" s="876"/>
      <c r="CQ1" s="876"/>
      <c r="CR1" s="876"/>
      <c r="CS1" s="876"/>
      <c r="CT1" s="876"/>
      <c r="CV1" s="876" t="s">
        <v>178</v>
      </c>
      <c r="CW1" s="876"/>
      <c r="CX1" s="876"/>
      <c r="CY1" s="876"/>
      <c r="CZ1" s="876"/>
      <c r="DA1" s="876"/>
      <c r="DB1" s="876"/>
      <c r="DC1" s="876"/>
      <c r="DD1" s="876"/>
      <c r="DF1" s="876" t="s">
        <v>178</v>
      </c>
      <c r="DG1" s="876"/>
      <c r="DH1" s="876"/>
      <c r="DI1" s="876"/>
      <c r="DJ1" s="876"/>
      <c r="DK1" s="876"/>
      <c r="DL1" s="876"/>
      <c r="DM1" s="876"/>
      <c r="DN1" s="876"/>
    </row>
    <row r="2" spans="2:118" x14ac:dyDescent="0.2">
      <c r="B2" s="873"/>
      <c r="C2" s="874"/>
      <c r="D2" s="874"/>
      <c r="E2" s="875"/>
      <c r="J2" s="876"/>
      <c r="K2" s="876"/>
      <c r="L2" s="876"/>
      <c r="M2" s="876"/>
      <c r="N2" s="876"/>
      <c r="O2" s="876"/>
      <c r="P2" s="876"/>
      <c r="Q2" s="876"/>
      <c r="R2" s="876"/>
      <c r="T2" s="876"/>
      <c r="U2" s="876"/>
      <c r="V2" s="876"/>
      <c r="W2" s="876"/>
      <c r="X2" s="876"/>
      <c r="Y2" s="876"/>
      <c r="Z2" s="876"/>
      <c r="AA2" s="876"/>
      <c r="AB2" s="876"/>
      <c r="AD2" s="876"/>
      <c r="AE2" s="876"/>
      <c r="AF2" s="876"/>
      <c r="AG2" s="876"/>
      <c r="AH2" s="876"/>
      <c r="AI2" s="876"/>
      <c r="AJ2" s="876"/>
      <c r="AK2" s="876"/>
      <c r="AL2" s="876"/>
      <c r="AN2" s="876"/>
      <c r="AO2" s="876"/>
      <c r="AP2" s="876"/>
      <c r="AQ2" s="876"/>
      <c r="AR2" s="876"/>
      <c r="AS2" s="876"/>
      <c r="AT2" s="876"/>
      <c r="AU2" s="876"/>
      <c r="AV2" s="876"/>
      <c r="AX2" s="876"/>
      <c r="AY2" s="876"/>
      <c r="AZ2" s="876"/>
      <c r="BA2" s="876"/>
      <c r="BB2" s="876"/>
      <c r="BC2" s="876"/>
      <c r="BD2" s="876"/>
      <c r="BE2" s="876"/>
      <c r="BF2" s="876"/>
      <c r="BH2" s="876"/>
      <c r="BI2" s="876"/>
      <c r="BJ2" s="876"/>
      <c r="BK2" s="876"/>
      <c r="BL2" s="876"/>
      <c r="BM2" s="876"/>
      <c r="BN2" s="876"/>
      <c r="BO2" s="876"/>
      <c r="BP2" s="876"/>
      <c r="BR2" s="876"/>
      <c r="BS2" s="876"/>
      <c r="BT2" s="876"/>
      <c r="BU2" s="876"/>
      <c r="BV2" s="876"/>
      <c r="BW2" s="876"/>
      <c r="BX2" s="876"/>
      <c r="BY2" s="876"/>
      <c r="BZ2" s="876"/>
      <c r="CB2" s="876"/>
      <c r="CC2" s="876"/>
      <c r="CD2" s="876"/>
      <c r="CE2" s="876"/>
      <c r="CF2" s="876"/>
      <c r="CG2" s="876"/>
      <c r="CH2" s="876"/>
      <c r="CI2" s="876"/>
      <c r="CJ2" s="876"/>
      <c r="CL2" s="876"/>
      <c r="CM2" s="876"/>
      <c r="CN2" s="876"/>
      <c r="CO2" s="876"/>
      <c r="CP2" s="876"/>
      <c r="CQ2" s="876"/>
      <c r="CR2" s="876"/>
      <c r="CS2" s="876"/>
      <c r="CT2" s="876"/>
      <c r="CV2" s="876"/>
      <c r="CW2" s="876"/>
      <c r="CX2" s="876"/>
      <c r="CY2" s="876"/>
      <c r="CZ2" s="876"/>
      <c r="DA2" s="876"/>
      <c r="DB2" s="876"/>
      <c r="DC2" s="876"/>
      <c r="DD2" s="876"/>
      <c r="DF2" s="876"/>
      <c r="DG2" s="876"/>
      <c r="DH2" s="876"/>
      <c r="DI2" s="876"/>
      <c r="DJ2" s="876"/>
      <c r="DK2" s="876"/>
      <c r="DL2" s="876"/>
      <c r="DM2" s="876"/>
      <c r="DN2" s="876"/>
    </row>
    <row r="3" spans="2:118" ht="22.35" customHeight="1" x14ac:dyDescent="0.2">
      <c r="B3" s="891" t="s">
        <v>179</v>
      </c>
      <c r="C3" s="892"/>
      <c r="D3" s="892"/>
      <c r="E3" s="893"/>
      <c r="J3" s="876"/>
      <c r="K3" s="876"/>
      <c r="L3" s="876"/>
      <c r="M3" s="876"/>
      <c r="N3" s="876"/>
      <c r="O3" s="876"/>
      <c r="P3" s="876"/>
      <c r="Q3" s="876"/>
      <c r="R3" s="876"/>
      <c r="T3" s="876"/>
      <c r="U3" s="876"/>
      <c r="V3" s="876"/>
      <c r="W3" s="876"/>
      <c r="X3" s="876"/>
      <c r="Y3" s="876"/>
      <c r="Z3" s="876"/>
      <c r="AA3" s="876"/>
      <c r="AB3" s="876"/>
      <c r="AD3" s="876"/>
      <c r="AE3" s="876"/>
      <c r="AF3" s="876"/>
      <c r="AG3" s="876"/>
      <c r="AH3" s="876"/>
      <c r="AI3" s="876"/>
      <c r="AJ3" s="876"/>
      <c r="AK3" s="876"/>
      <c r="AL3" s="876"/>
      <c r="AN3" s="876"/>
      <c r="AO3" s="876"/>
      <c r="AP3" s="876"/>
      <c r="AQ3" s="876"/>
      <c r="AR3" s="876"/>
      <c r="AS3" s="876"/>
      <c r="AT3" s="876"/>
      <c r="AU3" s="876"/>
      <c r="AV3" s="876"/>
      <c r="AX3" s="876"/>
      <c r="AY3" s="876"/>
      <c r="AZ3" s="876"/>
      <c r="BA3" s="876"/>
      <c r="BB3" s="876"/>
      <c r="BC3" s="876"/>
      <c r="BD3" s="876"/>
      <c r="BE3" s="876"/>
      <c r="BF3" s="876"/>
      <c r="BH3" s="876"/>
      <c r="BI3" s="876"/>
      <c r="BJ3" s="876"/>
      <c r="BK3" s="876"/>
      <c r="BL3" s="876"/>
      <c r="BM3" s="876"/>
      <c r="BN3" s="876"/>
      <c r="BO3" s="876"/>
      <c r="BP3" s="876"/>
      <c r="BR3" s="876"/>
      <c r="BS3" s="876"/>
      <c r="BT3" s="876"/>
      <c r="BU3" s="876"/>
      <c r="BV3" s="876"/>
      <c r="BW3" s="876"/>
      <c r="BX3" s="876"/>
      <c r="BY3" s="876"/>
      <c r="BZ3" s="876"/>
      <c r="CB3" s="876"/>
      <c r="CC3" s="876"/>
      <c r="CD3" s="876"/>
      <c r="CE3" s="876"/>
      <c r="CF3" s="876"/>
      <c r="CG3" s="876"/>
      <c r="CH3" s="876"/>
      <c r="CI3" s="876"/>
      <c r="CJ3" s="876"/>
      <c r="CL3" s="876"/>
      <c r="CM3" s="876"/>
      <c r="CN3" s="876"/>
      <c r="CO3" s="876"/>
      <c r="CP3" s="876"/>
      <c r="CQ3" s="876"/>
      <c r="CR3" s="876"/>
      <c r="CS3" s="876"/>
      <c r="CT3" s="876"/>
      <c r="CV3" s="876"/>
      <c r="CW3" s="876"/>
      <c r="CX3" s="876"/>
      <c r="CY3" s="876"/>
      <c r="CZ3" s="876"/>
      <c r="DA3" s="876"/>
      <c r="DB3" s="876"/>
      <c r="DC3" s="876"/>
      <c r="DD3" s="876"/>
      <c r="DF3" s="876"/>
      <c r="DG3" s="876"/>
      <c r="DH3" s="876"/>
      <c r="DI3" s="876"/>
      <c r="DJ3" s="876"/>
      <c r="DK3" s="876"/>
      <c r="DL3" s="876"/>
      <c r="DM3" s="876"/>
      <c r="DN3" s="876"/>
    </row>
    <row r="4" spans="2:118" ht="17.100000000000001" customHeight="1" x14ac:dyDescent="0.2">
      <c r="B4" s="900" t="s">
        <v>180</v>
      </c>
      <c r="C4" s="901"/>
      <c r="D4" s="901"/>
      <c r="E4" s="902"/>
      <c r="J4" s="1" t="s">
        <v>181</v>
      </c>
      <c r="L4" s="903" t="s">
        <v>182</v>
      </c>
      <c r="M4" s="903"/>
      <c r="N4" s="903"/>
      <c r="O4" s="903"/>
      <c r="T4" s="1" t="s">
        <v>181</v>
      </c>
      <c r="V4" s="903" t="str">
        <f>B18</f>
        <v>Bore Electric Flood Irrigation</v>
      </c>
      <c r="W4" s="903"/>
      <c r="X4" s="903"/>
      <c r="Y4" s="903"/>
      <c r="AD4" s="1" t="s">
        <v>181</v>
      </c>
      <c r="AF4" s="903" t="str">
        <f>B39</f>
        <v>Bore Diesel Flood Irrigation</v>
      </c>
      <c r="AG4" s="903"/>
      <c r="AH4" s="903"/>
      <c r="AI4" s="903"/>
      <c r="AN4" s="1" t="s">
        <v>181</v>
      </c>
      <c r="AP4" s="903" t="str">
        <f>B60</f>
        <v>Bore Electric Pivot Irrigation</v>
      </c>
      <c r="AQ4" s="903"/>
      <c r="AR4" s="903"/>
      <c r="AS4" s="903"/>
      <c r="AX4" s="1" t="s">
        <v>181</v>
      </c>
      <c r="AZ4" s="903" t="str">
        <f>B81</f>
        <v>Bore Diesel Pivot Irrigation</v>
      </c>
      <c r="BA4" s="903"/>
      <c r="BB4" s="903"/>
      <c r="BC4" s="903"/>
      <c r="BH4" s="1" t="s">
        <v>181</v>
      </c>
      <c r="BJ4" s="903" t="str">
        <f>B102</f>
        <v xml:space="preserve">PIVOT REPLACEMENT COST </v>
      </c>
      <c r="BK4" s="903"/>
      <c r="BL4" s="903"/>
      <c r="BM4" s="903"/>
      <c r="BR4" s="1" t="s">
        <v>181</v>
      </c>
      <c r="BT4" s="904" t="str">
        <f>B116</f>
        <v>FLOOD BAYS AND CHANNELS TO SET UP</v>
      </c>
      <c r="BU4" s="904"/>
      <c r="BV4" s="904"/>
      <c r="BW4" s="904"/>
      <c r="CB4" s="1" t="s">
        <v>181</v>
      </c>
      <c r="CD4" s="904" t="s">
        <v>183</v>
      </c>
      <c r="CE4" s="904"/>
      <c r="CF4" s="904"/>
      <c r="CG4" s="904"/>
      <c r="CH4" s="904"/>
      <c r="CL4" s="1" t="s">
        <v>181</v>
      </c>
      <c r="CN4" s="903" t="s">
        <v>184</v>
      </c>
      <c r="CO4" s="903"/>
      <c r="CP4" s="903"/>
      <c r="CQ4" s="903"/>
      <c r="CV4" s="1" t="s">
        <v>181</v>
      </c>
      <c r="CX4" s="903" t="s">
        <v>185</v>
      </c>
      <c r="CY4" s="903"/>
      <c r="CZ4" s="903"/>
      <c r="DA4" s="903"/>
      <c r="DF4" s="1" t="s">
        <v>181</v>
      </c>
      <c r="DH4" s="903" t="str">
        <f>B167</f>
        <v>Extra Permanent Water Licence Purchased</v>
      </c>
      <c r="DI4" s="903"/>
      <c r="DJ4" s="903"/>
      <c r="DK4" s="903"/>
    </row>
    <row r="5" spans="2:118" ht="15" x14ac:dyDescent="0.2">
      <c r="B5" s="897" t="s">
        <v>186</v>
      </c>
      <c r="C5" s="898"/>
      <c r="D5" s="898"/>
      <c r="E5" s="899"/>
      <c r="L5" s="37"/>
      <c r="M5" s="37"/>
      <c r="V5" s="37"/>
      <c r="W5" s="37"/>
      <c r="AF5" s="37"/>
      <c r="AG5" s="37"/>
      <c r="AP5" s="37"/>
      <c r="AQ5" s="37"/>
      <c r="AZ5" s="37"/>
      <c r="BA5" s="37"/>
      <c r="BJ5" s="37"/>
      <c r="BK5" s="37"/>
      <c r="BT5" s="37"/>
      <c r="BU5" s="37"/>
      <c r="CD5" s="37"/>
      <c r="CE5" s="37"/>
      <c r="CN5" s="37"/>
      <c r="CO5" s="37"/>
      <c r="CX5" s="37"/>
      <c r="CY5" s="37"/>
      <c r="DH5" s="37"/>
      <c r="DI5" s="37"/>
    </row>
    <row r="6" spans="2:118" ht="12.75" customHeight="1" x14ac:dyDescent="0.2">
      <c r="B6" s="891"/>
      <c r="C6" s="892"/>
      <c r="D6" s="892"/>
      <c r="E6" s="893"/>
      <c r="K6" s="38" t="s">
        <v>187</v>
      </c>
      <c r="L6" s="38"/>
      <c r="M6" s="38"/>
      <c r="N6" s="38"/>
      <c r="O6" s="38"/>
      <c r="Q6" s="39">
        <f>IF(Data!G18=0,0,(Q39*(Q14/Q13)))/Data!G18</f>
        <v>262.73154808362273</v>
      </c>
      <c r="U6" s="38" t="s">
        <v>187</v>
      </c>
      <c r="V6" s="38"/>
      <c r="W6" s="38"/>
      <c r="X6" s="38"/>
      <c r="Y6" s="38"/>
      <c r="AA6" s="39">
        <f>IF(AB27=0,0,((AA53*(AA14/AA13))+AA58))</f>
        <v>435.71948116533474</v>
      </c>
      <c r="AE6" s="38" t="s">
        <v>187</v>
      </c>
      <c r="AF6" s="38"/>
      <c r="AG6" s="38"/>
      <c r="AH6" s="38"/>
      <c r="AI6" s="38"/>
      <c r="AK6" s="39">
        <f>IF(AL27=0,0,((AK54*(AK14/AK13))+AK58))</f>
        <v>357.95912490175778</v>
      </c>
      <c r="AO6" s="38" t="s">
        <v>187</v>
      </c>
      <c r="AP6" s="38"/>
      <c r="AQ6" s="38"/>
      <c r="AR6" s="38"/>
      <c r="AS6" s="38"/>
      <c r="AU6" s="39">
        <f>IF(AV27=0,0,(AU53*((AU14/AU13))+AU58))</f>
        <v>409.81424140269939</v>
      </c>
      <c r="AY6" s="38" t="s">
        <v>187</v>
      </c>
      <c r="AZ6" s="38"/>
      <c r="BA6" s="38"/>
      <c r="BB6" s="38"/>
      <c r="BC6" s="38"/>
      <c r="BE6" s="39">
        <f>IF(BF27=0,0,((BE54*(BE14/BE13))+BE58))</f>
        <v>938.52644625958874</v>
      </c>
      <c r="BI6" s="38" t="s">
        <v>187</v>
      </c>
      <c r="BJ6" s="38"/>
      <c r="BK6" s="38"/>
      <c r="BL6" s="38"/>
      <c r="BM6" s="38"/>
      <c r="BO6" s="39">
        <f>IF(BP28=0,0,(BO48)*(BO14/BO13))</f>
        <v>312.30066416801952</v>
      </c>
      <c r="BS6" s="38" t="s">
        <v>187</v>
      </c>
      <c r="BT6" s="38"/>
      <c r="BU6" s="38"/>
      <c r="BV6" s="38"/>
      <c r="BW6" s="38"/>
      <c r="BY6" s="39">
        <f>IF(BY9=0,0,(BY54)*(BY28/BY29))</f>
        <v>218.49861757838789</v>
      </c>
      <c r="CC6" s="38" t="s">
        <v>187</v>
      </c>
      <c r="CD6" s="38"/>
      <c r="CE6" s="38"/>
      <c r="CF6" s="38"/>
      <c r="CG6" s="38"/>
      <c r="CI6" s="39">
        <f>IF(CI9=0,0,(CI57*(CI30/CI31)))</f>
        <v>409.74211320610885</v>
      </c>
      <c r="CM6" s="38" t="s">
        <v>187</v>
      </c>
      <c r="CN6" s="38"/>
      <c r="CO6" s="38"/>
      <c r="CP6" s="38"/>
      <c r="CQ6" s="38"/>
      <c r="CS6" s="39">
        <f>IF(D153=0,0,(CS47))*(CS13/40)</f>
        <v>0</v>
      </c>
      <c r="CW6" s="38" t="s">
        <v>187</v>
      </c>
      <c r="CX6" s="38"/>
      <c r="CY6" s="38"/>
      <c r="CZ6" s="38"/>
      <c r="DA6" s="38"/>
      <c r="DC6" s="39">
        <f>IF(D161=0,0,(DC47))*(DC13/40)</f>
        <v>0</v>
      </c>
      <c r="DG6" s="38" t="s">
        <v>187</v>
      </c>
      <c r="DH6" s="38"/>
      <c r="DI6" s="38"/>
      <c r="DJ6" s="38"/>
      <c r="DK6" s="38"/>
      <c r="DM6" s="39">
        <f>IF(N161=0,0,(DM41))*(DM13/40)</f>
        <v>0</v>
      </c>
    </row>
    <row r="7" spans="2:118" ht="12.75" customHeight="1" x14ac:dyDescent="0.2">
      <c r="B7" s="881" t="s">
        <v>188</v>
      </c>
      <c r="C7" s="751" t="s">
        <v>189</v>
      </c>
      <c r="D7" s="718">
        <v>7.0000000000000007E-2</v>
      </c>
      <c r="E7" s="752"/>
      <c r="J7" s="42" t="s">
        <v>190</v>
      </c>
      <c r="K7" s="43"/>
      <c r="L7" s="43"/>
      <c r="M7" s="43"/>
      <c r="N7" s="43"/>
      <c r="O7" s="43"/>
      <c r="P7" s="43"/>
      <c r="Q7" s="44"/>
      <c r="R7" s="38"/>
      <c r="T7" s="42" t="s">
        <v>190</v>
      </c>
      <c r="U7" s="43"/>
      <c r="V7" s="43"/>
      <c r="W7" s="43"/>
      <c r="X7" s="43"/>
      <c r="Y7" s="43"/>
      <c r="Z7" s="43"/>
      <c r="AA7" s="44"/>
      <c r="AB7" s="38"/>
      <c r="AD7" s="42" t="s">
        <v>190</v>
      </c>
      <c r="AE7" s="43"/>
      <c r="AF7" s="43"/>
      <c r="AG7" s="43"/>
      <c r="AH7" s="43"/>
      <c r="AI7" s="43"/>
      <c r="AJ7" s="43"/>
      <c r="AK7" s="44"/>
      <c r="AL7" s="38"/>
      <c r="AN7" s="42" t="s">
        <v>190</v>
      </c>
      <c r="AO7" s="43"/>
      <c r="AP7" s="43"/>
      <c r="AQ7" s="43"/>
      <c r="AR7" s="43"/>
      <c r="AS7" s="43"/>
      <c r="AT7" s="43"/>
      <c r="AU7" s="44"/>
      <c r="AV7" s="38"/>
      <c r="AX7" s="42" t="s">
        <v>190</v>
      </c>
      <c r="AY7" s="43"/>
      <c r="AZ7" s="43"/>
      <c r="BA7" s="43"/>
      <c r="BB7" s="43"/>
      <c r="BC7" s="43"/>
      <c r="BD7" s="43"/>
      <c r="BE7" s="44"/>
      <c r="BF7" s="38"/>
      <c r="BH7" s="42" t="s">
        <v>190</v>
      </c>
      <c r="BI7" s="43"/>
      <c r="BJ7" s="43"/>
      <c r="BK7" s="43"/>
      <c r="BL7" s="43"/>
      <c r="BM7" s="43"/>
      <c r="BN7" s="43"/>
      <c r="BO7" s="44"/>
      <c r="BP7" s="38"/>
      <c r="BY7" s="45"/>
      <c r="CB7" s="1" t="s">
        <v>191</v>
      </c>
      <c r="CI7" s="45">
        <f>D134</f>
        <v>7.0000000000000007E-2</v>
      </c>
      <c r="CL7" s="42" t="s">
        <v>190</v>
      </c>
      <c r="CM7" s="43"/>
      <c r="CN7" s="43"/>
      <c r="CO7" s="43"/>
      <c r="CP7" s="43"/>
      <c r="CQ7" s="43"/>
      <c r="CR7" s="43"/>
      <c r="CS7" s="44"/>
      <c r="CT7" s="38"/>
      <c r="CV7" s="42" t="s">
        <v>190</v>
      </c>
      <c r="CW7" s="43"/>
      <c r="CX7" s="43"/>
      <c r="CY7" s="43"/>
      <c r="CZ7" s="43"/>
      <c r="DA7" s="43"/>
      <c r="DB7" s="43"/>
      <c r="DC7" s="44"/>
      <c r="DD7" s="38"/>
      <c r="DF7" s="42" t="s">
        <v>190</v>
      </c>
      <c r="DG7" s="43"/>
      <c r="DH7" s="43"/>
      <c r="DI7" s="43"/>
      <c r="DJ7" s="43"/>
      <c r="DK7" s="43"/>
      <c r="DL7" s="43"/>
      <c r="DM7" s="44"/>
      <c r="DN7" s="38"/>
    </row>
    <row r="8" spans="2:118" x14ac:dyDescent="0.2">
      <c r="B8" s="882"/>
      <c r="C8" s="40" t="s">
        <v>192</v>
      </c>
      <c r="D8" s="596">
        <v>5</v>
      </c>
      <c r="E8" s="750" t="s">
        <v>193</v>
      </c>
      <c r="J8" s="47"/>
      <c r="Q8" s="48"/>
      <c r="T8" s="47"/>
      <c r="AA8" s="48"/>
      <c r="AD8" s="47"/>
      <c r="AK8" s="48"/>
      <c r="AN8" s="47"/>
      <c r="AU8" s="48"/>
      <c r="AX8" s="47"/>
      <c r="BE8" s="48"/>
      <c r="BH8" s="47"/>
      <c r="BO8" s="48"/>
      <c r="BR8" s="1" t="s">
        <v>194</v>
      </c>
      <c r="BY8" s="49">
        <f>D121</f>
        <v>1000</v>
      </c>
      <c r="CB8" s="1" t="s">
        <v>194</v>
      </c>
      <c r="CI8" s="49">
        <f>D138</f>
        <v>1000</v>
      </c>
      <c r="CL8" s="47"/>
      <c r="CS8" s="48"/>
      <c r="CV8" s="47"/>
      <c r="DC8" s="48"/>
      <c r="DF8" s="47"/>
      <c r="DM8" s="48"/>
    </row>
    <row r="9" spans="2:118" x14ac:dyDescent="0.2">
      <c r="B9" s="882"/>
      <c r="C9" s="50" t="s">
        <v>195</v>
      </c>
      <c r="D9" s="620">
        <v>37000</v>
      </c>
      <c r="E9" s="749"/>
      <c r="J9" s="47" t="s">
        <v>196</v>
      </c>
      <c r="P9" s="51"/>
      <c r="Q9" s="52">
        <f>D7</f>
        <v>7.0000000000000007E-2</v>
      </c>
      <c r="R9" s="53"/>
      <c r="T9" s="47" t="s">
        <v>196</v>
      </c>
      <c r="Z9" s="51"/>
      <c r="AA9" s="52">
        <f>D18</f>
        <v>7.0000000000000007E-2</v>
      </c>
      <c r="AB9" s="53"/>
      <c r="AD9" s="47" t="s">
        <v>196</v>
      </c>
      <c r="AJ9" s="51"/>
      <c r="AK9" s="52">
        <f>D39</f>
        <v>7.0000000000000007E-2</v>
      </c>
      <c r="AL9" s="53"/>
      <c r="AN9" s="47" t="s">
        <v>196</v>
      </c>
      <c r="AT9" s="51"/>
      <c r="AU9" s="52">
        <f>D60</f>
        <v>7.0000000000000007E-2</v>
      </c>
      <c r="AV9" s="53"/>
      <c r="AX9" s="47" t="s">
        <v>196</v>
      </c>
      <c r="BD9" s="51"/>
      <c r="BE9" s="52">
        <f>D81</f>
        <v>7.0000000000000007E-2</v>
      </c>
      <c r="BF9" s="53"/>
      <c r="BH9" s="47" t="s">
        <v>196</v>
      </c>
      <c r="BN9" s="51"/>
      <c r="BO9" s="52">
        <f>D103</f>
        <v>7.0000000000000007E-2</v>
      </c>
      <c r="BP9" s="53"/>
      <c r="BR9" s="1" t="s">
        <v>197</v>
      </c>
      <c r="BY9" s="54">
        <f>Data!E14</f>
        <v>80</v>
      </c>
      <c r="CB9" s="1" t="s">
        <v>197</v>
      </c>
      <c r="CI9" s="54">
        <f>Data!E14</f>
        <v>80</v>
      </c>
      <c r="CL9" s="47" t="s">
        <v>196</v>
      </c>
      <c r="CR9" s="51"/>
      <c r="CS9" s="52">
        <f>D152</f>
        <v>7.0000000000000007E-2</v>
      </c>
      <c r="CT9" s="53"/>
      <c r="CV9" s="47" t="s">
        <v>196</v>
      </c>
      <c r="DB9" s="51"/>
      <c r="DC9" s="52">
        <f>D160</f>
        <v>7.0000000000000007E-2</v>
      </c>
      <c r="DD9" s="53"/>
      <c r="DF9" s="47" t="s">
        <v>196</v>
      </c>
      <c r="DL9" s="51"/>
      <c r="DM9" s="52">
        <f>D169</f>
        <v>7.0000000000000007E-2</v>
      </c>
      <c r="DN9" s="53"/>
    </row>
    <row r="10" spans="2:118" x14ac:dyDescent="0.2">
      <c r="B10" s="882"/>
      <c r="C10" s="50" t="s">
        <v>198</v>
      </c>
      <c r="D10" s="620">
        <v>6000</v>
      </c>
      <c r="E10" s="749"/>
      <c r="J10" s="47" t="s">
        <v>199</v>
      </c>
      <c r="P10" s="55"/>
      <c r="Q10" s="56">
        <f>SUM(D11*Data!G18)</f>
        <v>172000</v>
      </c>
      <c r="T10" s="47" t="s">
        <v>200</v>
      </c>
      <c r="Z10" s="55"/>
      <c r="AA10" s="57">
        <f>D19*Data!E11</f>
        <v>20000</v>
      </c>
      <c r="AD10" s="47" t="s">
        <v>200</v>
      </c>
      <c r="AJ10" s="55"/>
      <c r="AK10" s="57">
        <f>D40*Data!E13</f>
        <v>20000</v>
      </c>
      <c r="AN10" s="47" t="s">
        <v>200</v>
      </c>
      <c r="AT10" s="55"/>
      <c r="AU10" s="57">
        <f>D61*Data!E16</f>
        <v>75000</v>
      </c>
      <c r="AX10" s="47" t="s">
        <v>200</v>
      </c>
      <c r="BD10" s="55"/>
      <c r="BE10" s="57">
        <f>D82*Data!E18</f>
        <v>75000</v>
      </c>
      <c r="BH10" s="47" t="s">
        <v>200</v>
      </c>
      <c r="BN10" s="55"/>
      <c r="BO10" s="57">
        <f>D106</f>
        <v>420000</v>
      </c>
      <c r="BR10" s="1" t="s">
        <v>201</v>
      </c>
      <c r="BY10" s="58">
        <f>SUM(BY8*BY9)</f>
        <v>80000</v>
      </c>
      <c r="CB10" s="1" t="s">
        <v>202</v>
      </c>
      <c r="CI10" s="58">
        <f>SUM(CI8*CI9)</f>
        <v>80000</v>
      </c>
      <c r="CL10" s="47" t="s">
        <v>200</v>
      </c>
      <c r="CR10" s="55"/>
      <c r="CS10" s="57">
        <f>IF(D153=0,0,D153)</f>
        <v>0</v>
      </c>
      <c r="CV10" s="47" t="s">
        <v>200</v>
      </c>
      <c r="DB10" s="55"/>
      <c r="DC10" s="57">
        <f>D161</f>
        <v>0</v>
      </c>
      <c r="DF10" s="47" t="s">
        <v>203</v>
      </c>
      <c r="DL10" s="55"/>
      <c r="DM10" s="57">
        <f>D172</f>
        <v>0</v>
      </c>
    </row>
    <row r="11" spans="2:118" x14ac:dyDescent="0.2">
      <c r="B11" s="882"/>
      <c r="C11" s="50" t="s">
        <v>204</v>
      </c>
      <c r="D11" s="755">
        <f>SUM(D9:D10)</f>
        <v>43000</v>
      </c>
      <c r="E11" s="749"/>
      <c r="J11" s="47" t="s">
        <v>205</v>
      </c>
      <c r="Q11" s="59">
        <f>D12</f>
        <v>0</v>
      </c>
      <c r="T11" s="47" t="s">
        <v>205</v>
      </c>
      <c r="AA11" s="59">
        <f>D20</f>
        <v>0</v>
      </c>
      <c r="AD11" s="47" t="s">
        <v>205</v>
      </c>
      <c r="AK11" s="59">
        <f>D41</f>
        <v>0</v>
      </c>
      <c r="AN11" s="47" t="s">
        <v>205</v>
      </c>
      <c r="AU11" s="59">
        <f>D62</f>
        <v>0</v>
      </c>
      <c r="AX11" s="47" t="s">
        <v>205</v>
      </c>
      <c r="BE11" s="59">
        <f>D83</f>
        <v>0</v>
      </c>
      <c r="BH11" s="47" t="s">
        <v>205</v>
      </c>
      <c r="BO11" s="59">
        <f>D107</f>
        <v>0</v>
      </c>
      <c r="BR11" s="1" t="s">
        <v>206</v>
      </c>
      <c r="BY11" s="53">
        <f>D125</f>
        <v>2</v>
      </c>
      <c r="CB11" s="47" t="s">
        <v>205</v>
      </c>
      <c r="CI11" s="60">
        <f>D136</f>
        <v>5000</v>
      </c>
      <c r="CL11" s="47" t="s">
        <v>205</v>
      </c>
      <c r="CS11" s="59">
        <f>D154</f>
        <v>0</v>
      </c>
      <c r="CV11" s="47" t="s">
        <v>205</v>
      </c>
      <c r="DC11" s="59">
        <f>D162</f>
        <v>0</v>
      </c>
      <c r="DF11" s="47" t="s">
        <v>207</v>
      </c>
      <c r="DM11" s="59">
        <f>D173</f>
        <v>0</v>
      </c>
    </row>
    <row r="12" spans="2:118" x14ac:dyDescent="0.2">
      <c r="B12" s="882"/>
      <c r="C12" s="50" t="s">
        <v>208</v>
      </c>
      <c r="D12" s="552">
        <v>0</v>
      </c>
      <c r="E12" s="749"/>
      <c r="J12" s="47"/>
      <c r="Q12" s="59">
        <f>SUM(Q10-Q11)</f>
        <v>172000</v>
      </c>
      <c r="T12" s="47"/>
      <c r="AA12" s="59">
        <f>SUM(AA10-AA11)</f>
        <v>20000</v>
      </c>
      <c r="AD12" s="47"/>
      <c r="AK12" s="59">
        <f>SUM(AK10-AK11)</f>
        <v>20000</v>
      </c>
      <c r="AN12" s="47"/>
      <c r="AU12" s="59">
        <f>SUM(AU10-AU11)</f>
        <v>75000</v>
      </c>
      <c r="AX12" s="47"/>
      <c r="BE12" s="59">
        <f>SUM(BE10-BE11)</f>
        <v>75000</v>
      </c>
      <c r="BH12" s="47"/>
      <c r="BO12" s="59">
        <f>SUM(BO10-BO11)</f>
        <v>420000</v>
      </c>
      <c r="BR12" s="1" t="s">
        <v>209</v>
      </c>
      <c r="BY12" s="58">
        <f>SUM(D124*BY11*10)</f>
        <v>10000</v>
      </c>
      <c r="CB12" s="1" t="s">
        <v>206</v>
      </c>
      <c r="CI12" s="53">
        <f>D143</f>
        <v>2</v>
      </c>
      <c r="CL12" s="47"/>
      <c r="CS12" s="59">
        <f>IF(CS10=0,0,(CS10-CS11))</f>
        <v>0</v>
      </c>
      <c r="CV12" s="47"/>
      <c r="DC12" s="59">
        <f>IF(D161=0,0,(DC10-DC11))</f>
        <v>0</v>
      </c>
      <c r="DF12" s="47"/>
      <c r="DM12" s="59">
        <f>IF(D172=0,0,(DM10-DM11))</f>
        <v>0</v>
      </c>
    </row>
    <row r="13" spans="2:118" x14ac:dyDescent="0.2">
      <c r="B13" s="882"/>
      <c r="C13" s="50" t="s">
        <v>210</v>
      </c>
      <c r="D13" s="620">
        <v>0</v>
      </c>
      <c r="E13" s="749"/>
      <c r="J13" s="47" t="s">
        <v>211</v>
      </c>
      <c r="Q13" s="61">
        <f>D14</f>
        <v>25</v>
      </c>
      <c r="T13" s="47" t="s">
        <v>211</v>
      </c>
      <c r="AA13" s="62">
        <f>D21</f>
        <v>12.5</v>
      </c>
      <c r="AD13" s="47" t="s">
        <v>211</v>
      </c>
      <c r="AK13" s="62">
        <f>D42</f>
        <v>12.5</v>
      </c>
      <c r="AN13" s="47" t="s">
        <v>211</v>
      </c>
      <c r="AU13" s="62">
        <f>D63</f>
        <v>20</v>
      </c>
      <c r="AX13" s="47" t="s">
        <v>211</v>
      </c>
      <c r="BE13" s="62">
        <f>D84</f>
        <v>20</v>
      </c>
      <c r="BH13" s="47" t="s">
        <v>211</v>
      </c>
      <c r="BO13" s="61">
        <v>20</v>
      </c>
      <c r="BW13" s="3" t="s">
        <v>212</v>
      </c>
      <c r="CB13" s="1" t="s">
        <v>213</v>
      </c>
      <c r="CI13" s="58">
        <f>SUM(D141*CI12*10)</f>
        <v>2000</v>
      </c>
      <c r="CL13" s="47" t="s">
        <v>211</v>
      </c>
      <c r="CS13" s="61">
        <f>D156</f>
        <v>15</v>
      </c>
      <c r="CV13" s="47" t="s">
        <v>211</v>
      </c>
      <c r="DC13" s="61">
        <f>D164</f>
        <v>15</v>
      </c>
      <c r="DF13" s="47" t="s">
        <v>214</v>
      </c>
      <c r="DM13" s="61">
        <f>D174</f>
        <v>40</v>
      </c>
    </row>
    <row r="14" spans="2:118" x14ac:dyDescent="0.2">
      <c r="B14" s="882"/>
      <c r="C14" s="50" t="s">
        <v>215</v>
      </c>
      <c r="D14" s="536">
        <v>25</v>
      </c>
      <c r="E14" s="749"/>
      <c r="J14" s="47" t="s">
        <v>192</v>
      </c>
      <c r="Q14" s="61">
        <f>IF(D8=0,1,D8)</f>
        <v>5</v>
      </c>
      <c r="T14" s="47" t="s">
        <v>192</v>
      </c>
      <c r="AA14" s="61">
        <f>IF(D22=0,1,D22)</f>
        <v>5</v>
      </c>
      <c r="AD14" s="47" t="s">
        <v>192</v>
      </c>
      <c r="AK14" s="61">
        <f>IF(D43=0,1,D43)</f>
        <v>5</v>
      </c>
      <c r="AN14" s="47" t="s">
        <v>192</v>
      </c>
      <c r="AU14" s="61">
        <f>IF(D64=0,1,D64)</f>
        <v>5</v>
      </c>
      <c r="AX14" s="47" t="s">
        <v>192</v>
      </c>
      <c r="BE14" s="61">
        <f>IF(D85=0,1,D85)</f>
        <v>5</v>
      </c>
      <c r="BH14" s="47" t="s">
        <v>192</v>
      </c>
      <c r="BO14" s="61">
        <f>IF(D109=0,1,D109)</f>
        <v>5</v>
      </c>
      <c r="BR14" s="1" t="s">
        <v>216</v>
      </c>
      <c r="BU14" s="1">
        <f>SUM(1/D122)*BY9*10</f>
        <v>32</v>
      </c>
      <c r="BV14" s="1" t="s">
        <v>27</v>
      </c>
      <c r="BW14" s="63">
        <f>D123</f>
        <v>50</v>
      </c>
      <c r="BY14" s="58">
        <f>SUM(BU14*10*BW14)</f>
        <v>16000</v>
      </c>
      <c r="CG14" s="3" t="s">
        <v>217</v>
      </c>
      <c r="CL14" s="64" t="s">
        <v>218</v>
      </c>
      <c r="CN14" s="3">
        <f>CS13</f>
        <v>15</v>
      </c>
      <c r="CO14" s="1" t="s">
        <v>219</v>
      </c>
      <c r="CS14" s="59">
        <f>Y84</f>
        <v>0</v>
      </c>
      <c r="CV14" s="64" t="s">
        <v>218</v>
      </c>
      <c r="CX14" s="3">
        <f>DC13</f>
        <v>15</v>
      </c>
      <c r="CY14" s="1" t="s">
        <v>219</v>
      </c>
      <c r="DC14" s="59">
        <f>BC84</f>
        <v>0</v>
      </c>
      <c r="DF14" s="64" t="s">
        <v>192</v>
      </c>
      <c r="DH14" s="3"/>
      <c r="DM14" s="65">
        <f>D175</f>
        <v>10</v>
      </c>
    </row>
    <row r="15" spans="2:118" x14ac:dyDescent="0.2">
      <c r="B15" s="883"/>
      <c r="C15" s="753"/>
      <c r="D15" s="756" t="s">
        <v>73</v>
      </c>
      <c r="E15" s="754"/>
      <c r="J15" s="64" t="s">
        <v>218</v>
      </c>
      <c r="L15" s="3">
        <f>Q13</f>
        <v>25</v>
      </c>
      <c r="M15" s="1" t="s">
        <v>219</v>
      </c>
      <c r="Q15" s="59">
        <f>D13</f>
        <v>0</v>
      </c>
      <c r="T15" s="64" t="s">
        <v>218</v>
      </c>
      <c r="V15" s="3">
        <f>AA13/Data!E11</f>
        <v>12.5</v>
      </c>
      <c r="W15" s="1" t="s">
        <v>219</v>
      </c>
      <c r="AA15" s="59">
        <f>D28</f>
        <v>1000</v>
      </c>
      <c r="AD15" s="64" t="s">
        <v>218</v>
      </c>
      <c r="AF15" s="3">
        <f>AK13</f>
        <v>12.5</v>
      </c>
      <c r="AG15" s="1" t="s">
        <v>219</v>
      </c>
      <c r="AK15" s="59">
        <f>D49*Data!E13</f>
        <v>1000</v>
      </c>
      <c r="AN15" s="64" t="s">
        <v>218</v>
      </c>
      <c r="AP15" s="3">
        <f>AU13</f>
        <v>20</v>
      </c>
      <c r="AQ15" s="1" t="s">
        <v>219</v>
      </c>
      <c r="AU15" s="59">
        <f>D70*Data!E16</f>
        <v>1000</v>
      </c>
      <c r="AX15" s="64" t="s">
        <v>218</v>
      </c>
      <c r="AZ15" s="3">
        <f>BE13</f>
        <v>20</v>
      </c>
      <c r="BA15" s="1" t="s">
        <v>219</v>
      </c>
      <c r="BE15" s="59">
        <f>D91*Data!E18</f>
        <v>1000</v>
      </c>
      <c r="BH15" s="64" t="s">
        <v>218</v>
      </c>
      <c r="BJ15" s="3">
        <f>BO13</f>
        <v>20</v>
      </c>
      <c r="BK15" s="1" t="s">
        <v>219</v>
      </c>
      <c r="BO15" s="59">
        <f>D110*D104</f>
        <v>6000</v>
      </c>
      <c r="BR15" s="1" t="s">
        <v>220</v>
      </c>
      <c r="BU15" s="1">
        <f>BU14</f>
        <v>32</v>
      </c>
      <c r="BV15" s="1" t="s">
        <v>27</v>
      </c>
      <c r="BW15" s="63">
        <f>D140</f>
        <v>95</v>
      </c>
      <c r="BY15" s="58">
        <f>SUM((BU15*10*BW15)/D148*(D148/D142))*((D148-5)/D148)</f>
        <v>19542.857142857145</v>
      </c>
      <c r="CB15" s="1" t="s">
        <v>221</v>
      </c>
      <c r="CE15" s="1">
        <f>SUM(1/D139)*CI9*10</f>
        <v>32</v>
      </c>
      <c r="CF15" s="1" t="s">
        <v>27</v>
      </c>
      <c r="CG15" s="63">
        <f>D140</f>
        <v>95</v>
      </c>
      <c r="CI15" s="58">
        <f>SUM(CE15/8*CG15)*(D148/D142)</f>
        <v>5320</v>
      </c>
      <c r="CL15" s="47"/>
      <c r="CS15" s="48"/>
      <c r="CV15" s="47"/>
      <c r="DC15" s="48"/>
      <c r="DF15" s="47"/>
      <c r="DM15" s="48"/>
    </row>
    <row r="16" spans="2:118" ht="12.75" customHeight="1" x14ac:dyDescent="0.2">
      <c r="B16" s="894"/>
      <c r="C16" s="895"/>
      <c r="D16" s="895"/>
      <c r="E16" s="896"/>
      <c r="J16" s="47"/>
      <c r="Q16" s="48"/>
      <c r="T16" s="47"/>
      <c r="AA16" s="48"/>
      <c r="AD16" s="47"/>
      <c r="AK16" s="48"/>
      <c r="AN16" s="47"/>
      <c r="AU16" s="48"/>
      <c r="AX16" s="47"/>
      <c r="BE16" s="48"/>
      <c r="BH16" s="47"/>
      <c r="BO16" s="48"/>
      <c r="BR16" s="1" t="s">
        <v>222</v>
      </c>
      <c r="BW16" s="53">
        <f>D126</f>
        <v>1</v>
      </c>
      <c r="CL16" s="47"/>
      <c r="CN16" s="66"/>
      <c r="CO16" s="66" t="s">
        <v>223</v>
      </c>
      <c r="CP16" s="67">
        <f>(CS12)</f>
        <v>0</v>
      </c>
      <c r="CQ16" s="67" t="s">
        <v>224</v>
      </c>
      <c r="CR16" s="68">
        <f>CS9/100</f>
        <v>7.000000000000001E-4</v>
      </c>
      <c r="CS16" s="69">
        <f>SUM(CS12*(1+CS9)^CS13)</f>
        <v>0</v>
      </c>
      <c r="CV16" s="47"/>
      <c r="CX16" s="66"/>
      <c r="CY16" s="66" t="s">
        <v>223</v>
      </c>
      <c r="CZ16" s="67">
        <f>(DC12)</f>
        <v>0</v>
      </c>
      <c r="DA16" s="67" t="s">
        <v>224</v>
      </c>
      <c r="DB16" s="68">
        <f>DC9/100</f>
        <v>7.000000000000001E-4</v>
      </c>
      <c r="DC16" s="69">
        <f>SUM(DC12*(1+DC9)^DC13)</f>
        <v>0</v>
      </c>
      <c r="DF16" s="47"/>
      <c r="DH16" s="66"/>
      <c r="DI16" s="66" t="s">
        <v>223</v>
      </c>
      <c r="DJ16" s="67">
        <f>(DM12)</f>
        <v>0</v>
      </c>
      <c r="DK16" s="67" t="s">
        <v>224</v>
      </c>
      <c r="DL16" s="68">
        <f>DM9/100</f>
        <v>7.000000000000001E-4</v>
      </c>
      <c r="DM16" s="69">
        <f>SUM(DM12*(1+DM9)^DM14)</f>
        <v>0</v>
      </c>
    </row>
    <row r="17" spans="2:118" ht="12.75" customHeight="1" x14ac:dyDescent="0.2">
      <c r="B17" s="869"/>
      <c r="C17" s="869"/>
      <c r="D17" s="869"/>
      <c r="E17" s="869"/>
      <c r="J17" s="47"/>
      <c r="L17" s="66"/>
      <c r="M17" s="66" t="s">
        <v>223</v>
      </c>
      <c r="N17" s="67">
        <f>(Q12)</f>
        <v>172000</v>
      </c>
      <c r="O17" s="67" t="s">
        <v>224</v>
      </c>
      <c r="P17" s="68">
        <f>Q9</f>
        <v>7.0000000000000007E-2</v>
      </c>
      <c r="Q17" s="69">
        <f>SUM(Q12*(1+Q9)^Q14)</f>
        <v>241238.89768040003</v>
      </c>
      <c r="T17" s="47"/>
      <c r="V17" s="66"/>
      <c r="W17" s="66" t="s">
        <v>223</v>
      </c>
      <c r="X17" s="67">
        <f>(AA12)</f>
        <v>20000</v>
      </c>
      <c r="Y17" s="67" t="s">
        <v>224</v>
      </c>
      <c r="Z17" s="68">
        <f>AA9/100</f>
        <v>7.000000000000001E-4</v>
      </c>
      <c r="AA17" s="69">
        <f>SUM(AA12*(1+(AA9))^AA14)</f>
        <v>28051.034614000004</v>
      </c>
      <c r="AD17" s="47"/>
      <c r="AF17" s="66"/>
      <c r="AG17" s="66" t="s">
        <v>223</v>
      </c>
      <c r="AH17" s="67">
        <f>(AK12)</f>
        <v>20000</v>
      </c>
      <c r="AI17" s="67" t="s">
        <v>224</v>
      </c>
      <c r="AJ17" s="68">
        <f>AK9/100</f>
        <v>7.000000000000001E-4</v>
      </c>
      <c r="AK17" s="69">
        <f>SUM(AK12*(1+(AK9))^AK14)</f>
        <v>28051.034614000004</v>
      </c>
      <c r="AN17" s="47"/>
      <c r="AP17" s="66"/>
      <c r="AQ17" s="66" t="s">
        <v>223</v>
      </c>
      <c r="AR17" s="67">
        <f>(AU12)</f>
        <v>75000</v>
      </c>
      <c r="AS17" s="67" t="s">
        <v>224</v>
      </c>
      <c r="AT17" s="68">
        <f>AU9/100</f>
        <v>7.000000000000001E-4</v>
      </c>
      <c r="AU17" s="69">
        <f>SUM(AU12*(1+(AU9))^AU14)</f>
        <v>105191.37980250001</v>
      </c>
      <c r="AX17" s="47"/>
      <c r="AZ17" s="66"/>
      <c r="BA17" s="66" t="s">
        <v>223</v>
      </c>
      <c r="BB17" s="67">
        <f>(BE12)</f>
        <v>75000</v>
      </c>
      <c r="BC17" s="67" t="s">
        <v>224</v>
      </c>
      <c r="BD17" s="68">
        <f>BE9/100</f>
        <v>7.000000000000001E-4</v>
      </c>
      <c r="BE17" s="69">
        <f>SUM(BE12*(1+(BE9))^BE14)</f>
        <v>105191.37980250001</v>
      </c>
      <c r="BH17" s="47"/>
      <c r="BJ17" s="66"/>
      <c r="BK17" s="66" t="s">
        <v>223</v>
      </c>
      <c r="BL17" s="67">
        <f>(BO12)</f>
        <v>420000</v>
      </c>
      <c r="BM17" s="67" t="s">
        <v>224</v>
      </c>
      <c r="BN17" s="68">
        <f>BO9</f>
        <v>7.0000000000000007E-2</v>
      </c>
      <c r="BO17" s="69">
        <f>SUM(BO12*(1+BO9)^BO14)</f>
        <v>589071.72689400008</v>
      </c>
      <c r="BR17" s="1" t="s">
        <v>225</v>
      </c>
      <c r="BW17" s="60">
        <f>SUM(D127+D128)</f>
        <v>1500</v>
      </c>
      <c r="CB17" s="1" t="s">
        <v>222</v>
      </c>
      <c r="CG17" s="53">
        <f>D144</f>
        <v>2</v>
      </c>
      <c r="CL17" s="47"/>
      <c r="CN17" s="66"/>
      <c r="CO17" s="66" t="s">
        <v>226</v>
      </c>
      <c r="CP17" s="67">
        <f>CS14</f>
        <v>0</v>
      </c>
      <c r="CQ17" s="67" t="s">
        <v>224</v>
      </c>
      <c r="CR17" s="70">
        <f>CS9/100</f>
        <v>7.000000000000001E-4</v>
      </c>
      <c r="CS17" s="69">
        <f>SUM(CS14*(1+CS9)^CS13)</f>
        <v>0</v>
      </c>
      <c r="CV17" s="47"/>
      <c r="CX17" s="66"/>
      <c r="CY17" s="66" t="s">
        <v>226</v>
      </c>
      <c r="CZ17" s="67">
        <f>DC14</f>
        <v>0</v>
      </c>
      <c r="DA17" s="67" t="s">
        <v>224</v>
      </c>
      <c r="DB17" s="70">
        <f>DC9/100</f>
        <v>7.000000000000001E-4</v>
      </c>
      <c r="DC17" s="69">
        <f>SUM(DC14*(1+DC9)^DC13)</f>
        <v>0</v>
      </c>
      <c r="DF17" s="47"/>
      <c r="DH17" s="66"/>
      <c r="DI17" s="66"/>
      <c r="DJ17" s="67"/>
      <c r="DK17" s="67"/>
      <c r="DL17" s="70"/>
      <c r="DM17" s="69"/>
    </row>
    <row r="18" spans="2:118" ht="12.75" customHeight="1" x14ac:dyDescent="0.2">
      <c r="B18" s="877" t="s">
        <v>227</v>
      </c>
      <c r="C18" s="751" t="s">
        <v>189</v>
      </c>
      <c r="D18" s="718">
        <v>7.0000000000000007E-2</v>
      </c>
      <c r="E18" s="72"/>
      <c r="J18" s="47"/>
      <c r="L18" s="66"/>
      <c r="M18" s="66" t="s">
        <v>226</v>
      </c>
      <c r="N18" s="67">
        <f>Q15</f>
        <v>0</v>
      </c>
      <c r="O18" s="67" t="s">
        <v>224</v>
      </c>
      <c r="P18" s="70">
        <f>Q9</f>
        <v>7.0000000000000007E-2</v>
      </c>
      <c r="Q18" s="69">
        <f>SUM(Q15*(1+(Q9/100))^Q13)</f>
        <v>0</v>
      </c>
      <c r="T18" s="47"/>
      <c r="V18" s="66"/>
      <c r="W18" s="66" t="s">
        <v>226</v>
      </c>
      <c r="X18" s="67">
        <f>AA15</f>
        <v>1000</v>
      </c>
      <c r="Y18" s="67" t="s">
        <v>224</v>
      </c>
      <c r="Z18" s="70">
        <f>AA9/100</f>
        <v>7.000000000000001E-4</v>
      </c>
      <c r="AA18" s="69">
        <f>SUM(AA15*(1+(AA9/100))^AA13)</f>
        <v>1008.7853051795577</v>
      </c>
      <c r="AD18" s="47"/>
      <c r="AF18" s="66"/>
      <c r="AG18" s="66" t="s">
        <v>226</v>
      </c>
      <c r="AH18" s="67">
        <f>AK15</f>
        <v>1000</v>
      </c>
      <c r="AI18" s="67" t="s">
        <v>224</v>
      </c>
      <c r="AJ18" s="70">
        <f>AK9/100</f>
        <v>7.000000000000001E-4</v>
      </c>
      <c r="AK18" s="69">
        <f>SUM(AK15*(1+(AK9/100))^AK13)</f>
        <v>1008.7853051795577</v>
      </c>
      <c r="AN18" s="47"/>
      <c r="AP18" s="66"/>
      <c r="AQ18" s="66" t="s">
        <v>226</v>
      </c>
      <c r="AR18" s="67">
        <f>AU15</f>
        <v>1000</v>
      </c>
      <c r="AS18" s="67" t="s">
        <v>224</v>
      </c>
      <c r="AT18" s="70">
        <f>AU9/100</f>
        <v>7.000000000000001E-4</v>
      </c>
      <c r="AU18" s="69">
        <f>SUM(AU15*(1+(AU9/100))^AU13)</f>
        <v>1014.0934921858928</v>
      </c>
      <c r="AX18" s="47"/>
      <c r="AZ18" s="66"/>
      <c r="BA18" s="66" t="s">
        <v>226</v>
      </c>
      <c r="BB18" s="67">
        <f>BE15</f>
        <v>1000</v>
      </c>
      <c r="BC18" s="67" t="s">
        <v>224</v>
      </c>
      <c r="BD18" s="70">
        <f>BE9/100</f>
        <v>7.000000000000001E-4</v>
      </c>
      <c r="BE18" s="69">
        <f>SUM(BE15*(1+(BE9/100))^BE13)</f>
        <v>1014.0934921858928</v>
      </c>
      <c r="BH18" s="47"/>
      <c r="BJ18" s="66"/>
      <c r="BK18" s="66" t="s">
        <v>226</v>
      </c>
      <c r="BL18" s="67">
        <f>BO15</f>
        <v>6000</v>
      </c>
      <c r="BM18" s="67" t="s">
        <v>224</v>
      </c>
      <c r="BN18" s="70">
        <f>BO9</f>
        <v>7.0000000000000007E-2</v>
      </c>
      <c r="BO18" s="69">
        <f>SUM(BO15*(1+BO9)^BO13)</f>
        <v>23218.106774917076</v>
      </c>
      <c r="BR18" s="1" t="s">
        <v>228</v>
      </c>
      <c r="BW18" s="53">
        <f>D129</f>
        <v>80</v>
      </c>
      <c r="BY18" s="58">
        <f>SUM(BW16*BW17*BW18)</f>
        <v>120000</v>
      </c>
      <c r="CB18" s="1" t="s">
        <v>229</v>
      </c>
      <c r="CG18" s="53">
        <f>D145</f>
        <v>14</v>
      </c>
      <c r="CL18" s="73"/>
      <c r="CM18" s="74"/>
      <c r="CN18" s="74"/>
      <c r="CO18" s="74"/>
      <c r="CP18" s="74"/>
      <c r="CQ18" s="74"/>
      <c r="CR18" s="75" t="s">
        <v>230</v>
      </c>
      <c r="CS18" s="76">
        <f>IF(CS16=0,CS17,(CS16-CS17))</f>
        <v>0</v>
      </c>
      <c r="CV18" s="73"/>
      <c r="CW18" s="74"/>
      <c r="CX18" s="74"/>
      <c r="CY18" s="74"/>
      <c r="CZ18" s="74"/>
      <c r="DA18" s="74"/>
      <c r="DB18" s="75" t="s">
        <v>230</v>
      </c>
      <c r="DC18" s="76">
        <f>SUM(DC16-DC17)</f>
        <v>0</v>
      </c>
      <c r="DF18" s="73"/>
      <c r="DG18" s="74"/>
      <c r="DH18" s="74"/>
      <c r="DI18" s="74"/>
      <c r="DJ18" s="74"/>
      <c r="DK18" s="74"/>
      <c r="DL18" s="75" t="s">
        <v>230</v>
      </c>
      <c r="DM18" s="76">
        <f>SUM(DM16-DM17)</f>
        <v>0</v>
      </c>
    </row>
    <row r="19" spans="2:118" x14ac:dyDescent="0.2">
      <c r="B19" s="878"/>
      <c r="C19" s="50" t="s">
        <v>231</v>
      </c>
      <c r="D19" s="552">
        <v>20000</v>
      </c>
      <c r="E19" s="41"/>
      <c r="J19" s="73"/>
      <c r="K19" s="74"/>
      <c r="L19" s="74"/>
      <c r="M19" s="74"/>
      <c r="N19" s="74"/>
      <c r="O19" s="74"/>
      <c r="P19" s="75" t="s">
        <v>230</v>
      </c>
      <c r="Q19" s="76">
        <f>SUM(Q17-Q18)</f>
        <v>241238.89768040003</v>
      </c>
      <c r="T19" s="73"/>
      <c r="U19" s="74"/>
      <c r="V19" s="74"/>
      <c r="W19" s="74"/>
      <c r="X19" s="74"/>
      <c r="Y19" s="74"/>
      <c r="Z19" s="75" t="s">
        <v>230</v>
      </c>
      <c r="AA19" s="76">
        <f>SUM(AA17-AA18)</f>
        <v>27042.249308820446</v>
      </c>
      <c r="AD19" s="73"/>
      <c r="AE19" s="74"/>
      <c r="AF19" s="74"/>
      <c r="AG19" s="74"/>
      <c r="AH19" s="74"/>
      <c r="AI19" s="74"/>
      <c r="AJ19" s="75" t="s">
        <v>230</v>
      </c>
      <c r="AK19" s="76">
        <f>SUM(AK17-AK18)</f>
        <v>27042.249308820446</v>
      </c>
      <c r="AN19" s="73"/>
      <c r="AO19" s="74"/>
      <c r="AP19" s="74"/>
      <c r="AQ19" s="74"/>
      <c r="AR19" s="74"/>
      <c r="AS19" s="74"/>
      <c r="AT19" s="75" t="s">
        <v>230</v>
      </c>
      <c r="AU19" s="76">
        <f>SUM(AU17-AU18)</f>
        <v>104177.28631031413</v>
      </c>
      <c r="AX19" s="73"/>
      <c r="AY19" s="74"/>
      <c r="AZ19" s="74"/>
      <c r="BA19" s="74"/>
      <c r="BB19" s="74"/>
      <c r="BC19" s="74"/>
      <c r="BD19" s="75" t="s">
        <v>230</v>
      </c>
      <c r="BE19" s="76">
        <f>SUM(BE17-BE18)</f>
        <v>104177.28631031413</v>
      </c>
      <c r="BH19" s="73"/>
      <c r="BI19" s="74"/>
      <c r="BJ19" s="74"/>
      <c r="BK19" s="74"/>
      <c r="BL19" s="74"/>
      <c r="BM19" s="74"/>
      <c r="BN19" s="75" t="s">
        <v>230</v>
      </c>
      <c r="BO19" s="76">
        <f>IF(BO17=0,BO18,(BO17-BO18))</f>
        <v>565853.62011908297</v>
      </c>
      <c r="CB19" s="1" t="s">
        <v>225</v>
      </c>
      <c r="CG19" s="60">
        <f>SUM(D146+D147)</f>
        <v>1500</v>
      </c>
      <c r="CL19" s="47"/>
      <c r="CR19" s="66" t="s">
        <v>232</v>
      </c>
      <c r="CS19" s="69">
        <f>IF(CS12=0,0,(CS18/((((1+(CS9))^CS13)-1)/(CS9))))</f>
        <v>0</v>
      </c>
      <c r="CV19" s="47"/>
      <c r="DB19" s="66" t="s">
        <v>232</v>
      </c>
      <c r="DC19" s="69">
        <f>SUM(DC18/((((1+(DC9))^DC13)-1)/(DC9)))</f>
        <v>0</v>
      </c>
      <c r="DF19" s="47"/>
      <c r="DL19" s="66" t="s">
        <v>232</v>
      </c>
      <c r="DM19" s="69">
        <f>SUM(DM18/((((1+(DM9))^DM14)-1)/(DM9)))</f>
        <v>0</v>
      </c>
    </row>
    <row r="20" spans="2:118" x14ac:dyDescent="0.2">
      <c r="B20" s="878"/>
      <c r="C20" s="50" t="s">
        <v>233</v>
      </c>
      <c r="D20" s="552">
        <v>0</v>
      </c>
      <c r="E20" s="41"/>
      <c r="J20" s="47"/>
      <c r="P20" s="66" t="s">
        <v>232</v>
      </c>
      <c r="Q20" s="69">
        <f>IF(Q12=0,0,(Q19/((((1+(Q9))^Q13)-1)/(Q9))))</f>
        <v>3814.1117460703554</v>
      </c>
      <c r="T20" s="47"/>
      <c r="Z20" s="66" t="s">
        <v>232</v>
      </c>
      <c r="AA20" s="69">
        <f>IF(AA12=0,0,(AA19/((((1+(AA9))^AA13)-1)/(AA9))))</f>
        <v>1423.6133497080059</v>
      </c>
      <c r="AD20" s="47"/>
      <c r="AJ20" s="66" t="s">
        <v>232</v>
      </c>
      <c r="AK20" s="69">
        <f>IF(AK12=0,0,(AK19/((((1+(AK9))^AK13)-1)/(AK9))))</f>
        <v>1423.6133497080059</v>
      </c>
      <c r="AN20" s="47"/>
      <c r="AT20" s="66" t="s">
        <v>232</v>
      </c>
      <c r="AU20" s="69">
        <f>IF(AU12=0,0,(AU19/((((1+(AU9))^AU13)-1)/(AU9))))</f>
        <v>2541.1888091013802</v>
      </c>
      <c r="AX20" s="47"/>
      <c r="BD20" s="66" t="s">
        <v>232</v>
      </c>
      <c r="BE20" s="69">
        <f>IF(BE12=0,0,(BE19/((((1+(BE9))^BE13)-1)/(BE9))))</f>
        <v>2541.1888091013802</v>
      </c>
      <c r="BH20" s="47"/>
      <c r="BN20" s="66" t="s">
        <v>232</v>
      </c>
      <c r="BO20" s="69">
        <f>IF(BO12=0,0,(BO19/((((1+(BO9))^BO14)-1)/(BO9))))</f>
        <v>98396.678954672781</v>
      </c>
      <c r="BR20" s="1" t="s">
        <v>234</v>
      </c>
      <c r="BY20" s="77">
        <f>SUM(BY10+BY12+BY14+BY15+BY18)</f>
        <v>245542.85714285716</v>
      </c>
      <c r="CB20" s="1" t="s">
        <v>228</v>
      </c>
      <c r="CG20" s="53">
        <f>D129</f>
        <v>80</v>
      </c>
      <c r="CI20" s="58">
        <f>SUM((CG17*CG19*CG20))*(CI46/CG18)</f>
        <v>240000</v>
      </c>
      <c r="CL20" s="47"/>
      <c r="CR20" s="66" t="s">
        <v>235</v>
      </c>
      <c r="CS20" s="69">
        <f>IF(CS12=0,0,(CS14*CS9))</f>
        <v>0</v>
      </c>
      <c r="CV20" s="47"/>
      <c r="DB20" s="66" t="s">
        <v>235</v>
      </c>
      <c r="DC20" s="69">
        <f>SUM(DC14*DC9)</f>
        <v>0</v>
      </c>
      <c r="DF20" s="47"/>
      <c r="DL20" s="66"/>
      <c r="DM20" s="69"/>
    </row>
    <row r="21" spans="2:118" x14ac:dyDescent="0.2">
      <c r="B21" s="878"/>
      <c r="C21" s="50" t="s">
        <v>215</v>
      </c>
      <c r="D21" s="767">
        <f>IF(D29=0,0,(D23/E29))</f>
        <v>12.5</v>
      </c>
      <c r="E21" s="41"/>
      <c r="J21" s="47"/>
      <c r="P21" s="66" t="s">
        <v>235</v>
      </c>
      <c r="Q21" s="69">
        <f>IF(Q12=0,0,(Q15*Q9))</f>
        <v>0</v>
      </c>
      <c r="T21" s="47"/>
      <c r="Z21" s="66" t="s">
        <v>235</v>
      </c>
      <c r="AA21" s="69">
        <f>IF(AA12=0,0,(AA15*AA9))</f>
        <v>70</v>
      </c>
      <c r="AD21" s="47"/>
      <c r="AJ21" s="66" t="s">
        <v>235</v>
      </c>
      <c r="AK21" s="69">
        <f>IF(AK12=0,0,(AK15*AK9))</f>
        <v>70</v>
      </c>
      <c r="AN21" s="47"/>
      <c r="AT21" s="66" t="s">
        <v>235</v>
      </c>
      <c r="AU21" s="69">
        <f>IF(AU12=0,0,(AU15*AU9))</f>
        <v>70</v>
      </c>
      <c r="AX21" s="47"/>
      <c r="BD21" s="66" t="s">
        <v>235</v>
      </c>
      <c r="BE21" s="69">
        <f>IF(BE12=0,0,(BE15*BE9))</f>
        <v>70</v>
      </c>
      <c r="BH21" s="47"/>
      <c r="BN21" s="66" t="s">
        <v>235</v>
      </c>
      <c r="BO21" s="69">
        <f>IF(BO12=0,0,(BO15*BO9))</f>
        <v>420.00000000000006</v>
      </c>
      <c r="CL21" s="78"/>
      <c r="CM21" s="79"/>
      <c r="CN21" s="79"/>
      <c r="CO21" s="79"/>
      <c r="CP21" s="79"/>
      <c r="CQ21" s="79"/>
      <c r="CR21" s="80" t="s">
        <v>236</v>
      </c>
      <c r="CS21" s="81">
        <f>SUM(CS19-CS20)</f>
        <v>0</v>
      </c>
      <c r="CT21" s="38"/>
      <c r="CV21" s="78"/>
      <c r="CW21" s="79"/>
      <c r="CX21" s="79"/>
      <c r="CY21" s="79"/>
      <c r="CZ21" s="79"/>
      <c r="DA21" s="79"/>
      <c r="DB21" s="80" t="s">
        <v>236</v>
      </c>
      <c r="DC21" s="81">
        <f>SUM(DC19-DC20)</f>
        <v>0</v>
      </c>
      <c r="DD21" s="38"/>
      <c r="DF21" s="78"/>
      <c r="DG21" s="79"/>
      <c r="DH21" s="79"/>
      <c r="DI21" s="79"/>
      <c r="DJ21" s="79"/>
      <c r="DK21" s="79"/>
      <c r="DL21" s="80" t="s">
        <v>237</v>
      </c>
      <c r="DM21" s="81">
        <f>SUM(DM19-DM20)</f>
        <v>0</v>
      </c>
      <c r="DN21" s="38"/>
    </row>
    <row r="22" spans="2:118" x14ac:dyDescent="0.2">
      <c r="B22" s="878"/>
      <c r="C22" s="50" t="s">
        <v>192</v>
      </c>
      <c r="D22" s="536">
        <v>5</v>
      </c>
      <c r="E22" s="46" t="s">
        <v>193</v>
      </c>
      <c r="J22" s="78"/>
      <c r="K22" s="79"/>
      <c r="L22" s="79"/>
      <c r="M22" s="79"/>
      <c r="N22" s="79"/>
      <c r="O22" s="79"/>
      <c r="P22" s="80" t="s">
        <v>236</v>
      </c>
      <c r="Q22" s="81">
        <f>SUM(Q20-Q21)</f>
        <v>3814.1117460703554</v>
      </c>
      <c r="R22" s="38"/>
      <c r="T22" s="78"/>
      <c r="U22" s="79"/>
      <c r="V22" s="79"/>
      <c r="W22" s="79"/>
      <c r="X22" s="79"/>
      <c r="Y22" s="79"/>
      <c r="Z22" s="80" t="s">
        <v>236</v>
      </c>
      <c r="AA22" s="81">
        <f>SUM(AA20-AA21)</f>
        <v>1353.6133497080059</v>
      </c>
      <c r="AB22" s="38"/>
      <c r="AD22" s="78"/>
      <c r="AE22" s="79"/>
      <c r="AF22" s="79"/>
      <c r="AG22" s="79"/>
      <c r="AH22" s="79"/>
      <c r="AI22" s="79"/>
      <c r="AJ22" s="80" t="s">
        <v>236</v>
      </c>
      <c r="AK22" s="81">
        <f>SUM(AK20-AK21)</f>
        <v>1353.6133497080059</v>
      </c>
      <c r="AL22" s="38"/>
      <c r="AN22" s="78"/>
      <c r="AO22" s="79"/>
      <c r="AP22" s="79"/>
      <c r="AQ22" s="79"/>
      <c r="AR22" s="79"/>
      <c r="AS22" s="79"/>
      <c r="AT22" s="80" t="s">
        <v>236</v>
      </c>
      <c r="AU22" s="81">
        <f>SUM(AU20-AU21)</f>
        <v>2471.1888091013802</v>
      </c>
      <c r="AV22" s="38"/>
      <c r="AX22" s="78"/>
      <c r="AY22" s="79"/>
      <c r="AZ22" s="79"/>
      <c r="BA22" s="79"/>
      <c r="BB22" s="79"/>
      <c r="BC22" s="79"/>
      <c r="BD22" s="80" t="s">
        <v>236</v>
      </c>
      <c r="BE22" s="81">
        <f>SUM(BE20-BE21)</f>
        <v>2471.1888091013802</v>
      </c>
      <c r="BF22" s="38"/>
      <c r="BH22" s="78"/>
      <c r="BI22" s="79"/>
      <c r="BJ22" s="79"/>
      <c r="BK22" s="79"/>
      <c r="BL22" s="79"/>
      <c r="BM22" s="79"/>
      <c r="BN22" s="80" t="s">
        <v>236</v>
      </c>
      <c r="BO22" s="81">
        <f>SUM(BO20-BO21)</f>
        <v>97976.678954672781</v>
      </c>
      <c r="BP22" s="38"/>
      <c r="BR22" s="42" t="s">
        <v>190</v>
      </c>
      <c r="BS22" s="43"/>
      <c r="BT22" s="43"/>
      <c r="BU22" s="43"/>
      <c r="BV22" s="43"/>
      <c r="BW22" s="43"/>
      <c r="BX22" s="43"/>
      <c r="BY22" s="44"/>
      <c r="BZ22" s="38"/>
      <c r="CB22" s="1" t="s">
        <v>234</v>
      </c>
      <c r="CI22" s="82">
        <f>SUM(CI10+CI13+CI15+CI20)</f>
        <v>327320</v>
      </c>
      <c r="CL22" s="83"/>
      <c r="CM22" s="84"/>
      <c r="CN22" s="84"/>
      <c r="CO22" s="84"/>
      <c r="CP22" s="84"/>
      <c r="CQ22" s="84"/>
      <c r="CR22" s="85" t="s">
        <v>238</v>
      </c>
      <c r="CS22" s="86">
        <f>SUM(CS12/((1-((1+CS9)^-CS13))/CS9))</f>
        <v>0</v>
      </c>
      <c r="CV22" s="83"/>
      <c r="CW22" s="84"/>
      <c r="CX22" s="84"/>
      <c r="CY22" s="84"/>
      <c r="CZ22" s="84"/>
      <c r="DA22" s="84"/>
      <c r="DB22" s="85" t="s">
        <v>238</v>
      </c>
      <c r="DC22" s="86">
        <f>SUM(DC12/((1-((1+DC9)^-DC13))/DC9))</f>
        <v>0</v>
      </c>
      <c r="DF22" s="83"/>
      <c r="DG22" s="84"/>
      <c r="DH22" s="84"/>
      <c r="DI22" s="84"/>
      <c r="DJ22" s="84"/>
      <c r="DK22" s="84"/>
      <c r="DL22" s="85" t="s">
        <v>238</v>
      </c>
      <c r="DM22" s="86">
        <f>SUM(DM12/((1-((1+DM9)^-DM14))/DM9))</f>
        <v>0</v>
      </c>
    </row>
    <row r="23" spans="2:118" ht="12.75" customHeight="1" x14ac:dyDescent="0.2">
      <c r="B23" s="878"/>
      <c r="C23" s="753" t="s">
        <v>239</v>
      </c>
      <c r="D23" s="536">
        <v>10000</v>
      </c>
      <c r="E23" s="46" t="s">
        <v>240</v>
      </c>
      <c r="J23" s="83"/>
      <c r="K23" s="84"/>
      <c r="L23" s="84"/>
      <c r="M23" s="84"/>
      <c r="N23" s="84"/>
      <c r="O23" s="84"/>
      <c r="P23" s="85" t="s">
        <v>238</v>
      </c>
      <c r="Q23" s="86">
        <f>SUM(Q12/((1-((1+Q9)^-Q13))/Q9))</f>
        <v>14759.408961954488</v>
      </c>
      <c r="T23" s="83"/>
      <c r="U23" s="84"/>
      <c r="V23" s="84"/>
      <c r="W23" s="84"/>
      <c r="X23" s="84"/>
      <c r="Y23" s="84"/>
      <c r="Z23" s="85" t="s">
        <v>238</v>
      </c>
      <c r="AA23" s="86">
        <f>SUM(AA12/((1-((1+AA9)^-AA13))/AA9))</f>
        <v>2452.8808705595816</v>
      </c>
      <c r="AD23" s="83"/>
      <c r="AE23" s="84"/>
      <c r="AF23" s="84"/>
      <c r="AG23" s="84"/>
      <c r="AH23" s="84"/>
      <c r="AI23" s="84"/>
      <c r="AJ23" s="85" t="s">
        <v>238</v>
      </c>
      <c r="AK23" s="86">
        <f>SUM(AK12/((1-((1+AK9)^-AK13))/AK9))</f>
        <v>2452.8808705595816</v>
      </c>
      <c r="AN23" s="83"/>
      <c r="AO23" s="84"/>
      <c r="AP23" s="84"/>
      <c r="AQ23" s="84"/>
      <c r="AR23" s="84"/>
      <c r="AS23" s="84"/>
      <c r="AT23" s="85" t="s">
        <v>238</v>
      </c>
      <c r="AU23" s="86">
        <f>SUM(AU12/((1-((1+AU9)^-AU13))/AU9))</f>
        <v>7079.4694307441769</v>
      </c>
      <c r="AX23" s="83"/>
      <c r="AY23" s="84"/>
      <c r="AZ23" s="84"/>
      <c r="BA23" s="84"/>
      <c r="BB23" s="84"/>
      <c r="BC23" s="84"/>
      <c r="BD23" s="85" t="s">
        <v>238</v>
      </c>
      <c r="BE23" s="86">
        <f>SUM(BE12/((1-((1+BE9)^-BE13))/BE9))</f>
        <v>7079.4694307441769</v>
      </c>
      <c r="BH23" s="83"/>
      <c r="BI23" s="84"/>
      <c r="BJ23" s="84"/>
      <c r="BK23" s="84"/>
      <c r="BL23" s="84"/>
      <c r="BM23" s="84"/>
      <c r="BN23" s="85" t="s">
        <v>238</v>
      </c>
      <c r="BO23" s="86">
        <f>SUM(BO12/((1-((1+BO9)^-BO14))/BO9))</f>
        <v>102434.0916653771</v>
      </c>
      <c r="BR23" s="47"/>
      <c r="BY23" s="48"/>
      <c r="CL23" s="87" t="s">
        <v>241</v>
      </c>
      <c r="CM23" s="88"/>
      <c r="CN23" s="88"/>
      <c r="CO23" s="88"/>
      <c r="CP23" s="88"/>
      <c r="CQ23" s="88"/>
      <c r="CR23" s="88"/>
      <c r="CS23" s="89">
        <f>IF(CS10=0,0,((CS21/1)/CS12))</f>
        <v>0</v>
      </c>
      <c r="CV23" s="87" t="s">
        <v>241</v>
      </c>
      <c r="CW23" s="88"/>
      <c r="CX23" s="88"/>
      <c r="CY23" s="88"/>
      <c r="CZ23" s="88"/>
      <c r="DA23" s="88"/>
      <c r="DB23" s="88"/>
      <c r="DC23" s="89">
        <f>IF(DC10=0,0,((DC21/1)/DC12))</f>
        <v>0</v>
      </c>
      <c r="DF23" s="87"/>
      <c r="DG23" s="88"/>
      <c r="DH23" s="88"/>
      <c r="DI23" s="88"/>
      <c r="DJ23" s="88"/>
      <c r="DK23" s="88"/>
      <c r="DL23" s="88"/>
      <c r="DM23" s="89">
        <f>IF(DM10=0,0,((DM21/1)/DM12))</f>
        <v>0</v>
      </c>
    </row>
    <row r="24" spans="2:118" x14ac:dyDescent="0.2">
      <c r="B24" s="878"/>
      <c r="C24" s="764" t="s">
        <v>242</v>
      </c>
      <c r="D24" s="567">
        <v>20000</v>
      </c>
      <c r="E24" s="758"/>
      <c r="J24" s="87" t="s">
        <v>241</v>
      </c>
      <c r="K24" s="88"/>
      <c r="L24" s="88"/>
      <c r="M24" s="88"/>
      <c r="N24" s="88"/>
      <c r="O24" s="88"/>
      <c r="P24" s="88"/>
      <c r="Q24" s="89">
        <f>SUM((Q22/1)/Q12)</f>
        <v>2.2175068291106718E-2</v>
      </c>
      <c r="T24" s="87" t="s">
        <v>241</v>
      </c>
      <c r="U24" s="88"/>
      <c r="V24" s="88"/>
      <c r="W24" s="88"/>
      <c r="X24" s="88"/>
      <c r="Y24" s="88"/>
      <c r="Z24" s="88"/>
      <c r="AA24" s="89">
        <f>SUM((AA22/1)/AA12)</f>
        <v>6.7680667485400289E-2</v>
      </c>
      <c r="AD24" s="87" t="s">
        <v>241</v>
      </c>
      <c r="AE24" s="88"/>
      <c r="AF24" s="88"/>
      <c r="AG24" s="88"/>
      <c r="AH24" s="88"/>
      <c r="AI24" s="88"/>
      <c r="AJ24" s="88"/>
      <c r="AK24" s="89">
        <f>SUM((AK22/1)/AK12)</f>
        <v>6.7680667485400289E-2</v>
      </c>
      <c r="AN24" s="87" t="s">
        <v>241</v>
      </c>
      <c r="AO24" s="88"/>
      <c r="AP24" s="88"/>
      <c r="AQ24" s="88"/>
      <c r="AR24" s="88"/>
      <c r="AS24" s="88"/>
      <c r="AT24" s="88"/>
      <c r="AU24" s="89">
        <f>SUM((AU22/1)/AU12)</f>
        <v>3.2949184121351734E-2</v>
      </c>
      <c r="AX24" s="87" t="s">
        <v>241</v>
      </c>
      <c r="AY24" s="88"/>
      <c r="AZ24" s="88"/>
      <c r="BA24" s="88"/>
      <c r="BB24" s="88"/>
      <c r="BC24" s="88"/>
      <c r="BD24" s="88"/>
      <c r="BE24" s="89">
        <f>SUM((BE22/1)/BE12)</f>
        <v>3.2949184121351734E-2</v>
      </c>
      <c r="BH24" s="87" t="s">
        <v>241</v>
      </c>
      <c r="BI24" s="88"/>
      <c r="BJ24" s="88"/>
      <c r="BK24" s="88"/>
      <c r="BL24" s="88"/>
      <c r="BM24" s="88"/>
      <c r="BN24" s="88"/>
      <c r="BO24" s="89">
        <f>SUM((BO22/1)/BO12)</f>
        <v>0.2332778070349352</v>
      </c>
      <c r="BR24" s="47" t="s">
        <v>196</v>
      </c>
      <c r="BX24" s="51"/>
      <c r="BY24" s="52">
        <f>D117</f>
        <v>7.0000000000000007E-2</v>
      </c>
      <c r="BZ24" s="53"/>
      <c r="CB24" s="42" t="s">
        <v>190</v>
      </c>
      <c r="CC24" s="43"/>
      <c r="CD24" s="43"/>
      <c r="CE24" s="43"/>
      <c r="CF24" s="43"/>
      <c r="CG24" s="43"/>
      <c r="CH24" s="43"/>
      <c r="CI24" s="44"/>
      <c r="CS24" s="82"/>
      <c r="DC24" s="82"/>
      <c r="DM24" s="82"/>
    </row>
    <row r="25" spans="2:118" x14ac:dyDescent="0.2">
      <c r="B25" s="878"/>
      <c r="C25" s="765" t="s">
        <v>243</v>
      </c>
      <c r="D25" s="552">
        <v>0</v>
      </c>
      <c r="E25" s="760"/>
      <c r="BR25" s="47" t="s">
        <v>244</v>
      </c>
      <c r="BX25" s="55"/>
      <c r="BY25" s="90">
        <f>SUM(BY20)</f>
        <v>245542.85714285716</v>
      </c>
      <c r="CB25" s="47"/>
      <c r="CI25" s="48"/>
      <c r="CL25" s="42" t="s">
        <v>245</v>
      </c>
      <c r="CM25" s="43"/>
      <c r="CN25" s="43"/>
      <c r="CO25" s="43"/>
      <c r="CP25" s="43"/>
      <c r="CQ25" s="43"/>
      <c r="CR25" s="43"/>
      <c r="CS25" s="43"/>
      <c r="CT25" s="44"/>
      <c r="CV25" s="42" t="s">
        <v>245</v>
      </c>
      <c r="CW25" s="43"/>
      <c r="CX25" s="43"/>
      <c r="CY25" s="43"/>
      <c r="CZ25" s="43"/>
      <c r="DA25" s="43"/>
      <c r="DB25" s="43"/>
      <c r="DC25" s="43"/>
      <c r="DD25" s="44"/>
      <c r="DF25" s="42" t="s">
        <v>245</v>
      </c>
      <c r="DG25" s="43"/>
      <c r="DH25" s="43"/>
      <c r="DI25" s="43"/>
      <c r="DJ25" s="43"/>
      <c r="DK25" s="43"/>
      <c r="DL25" s="43"/>
      <c r="DM25" s="43"/>
      <c r="DN25" s="44"/>
    </row>
    <row r="26" spans="2:118" x14ac:dyDescent="0.2">
      <c r="B26" s="878"/>
      <c r="C26" s="765" t="s">
        <v>246</v>
      </c>
      <c r="D26" s="768">
        <f>IF(D29=0,0,(D27/E29))</f>
        <v>6.25</v>
      </c>
      <c r="E26" s="760"/>
      <c r="J26" s="91" t="s">
        <v>247</v>
      </c>
      <c r="K26" s="92"/>
      <c r="L26" s="92"/>
      <c r="M26" s="92"/>
      <c r="N26" s="92"/>
      <c r="O26" s="92"/>
      <c r="P26" s="43"/>
      <c r="Q26" s="43"/>
      <c r="T26" s="42" t="s">
        <v>248</v>
      </c>
      <c r="U26" s="43"/>
      <c r="V26" s="43"/>
      <c r="W26" s="43"/>
      <c r="X26" s="43"/>
      <c r="Y26" s="43"/>
      <c r="Z26" s="43"/>
      <c r="AA26" s="43"/>
      <c r="AB26" s="44"/>
      <c r="AD26" s="42" t="s">
        <v>248</v>
      </c>
      <c r="AE26" s="43"/>
      <c r="AF26" s="43"/>
      <c r="AG26" s="43"/>
      <c r="AH26" s="43"/>
      <c r="AI26" s="43"/>
      <c r="AJ26" s="43"/>
      <c r="AK26" s="43"/>
      <c r="AL26" s="44"/>
      <c r="AN26" s="42" t="s">
        <v>248</v>
      </c>
      <c r="AO26" s="43"/>
      <c r="AP26" s="43"/>
      <c r="AQ26" s="43"/>
      <c r="AR26" s="43"/>
      <c r="AS26" s="43"/>
      <c r="AT26" s="43"/>
      <c r="AU26" s="43"/>
      <c r="AV26" s="44"/>
      <c r="AX26" s="42" t="s">
        <v>248</v>
      </c>
      <c r="AY26" s="43"/>
      <c r="AZ26" s="43"/>
      <c r="BA26" s="43"/>
      <c r="BB26" s="43"/>
      <c r="BC26" s="43"/>
      <c r="BD26" s="43"/>
      <c r="BE26" s="43"/>
      <c r="BF26" s="44"/>
      <c r="BH26" s="42" t="s">
        <v>245</v>
      </c>
      <c r="BI26" s="43"/>
      <c r="BJ26" s="43"/>
      <c r="BK26" s="43"/>
      <c r="BL26" s="43"/>
      <c r="BM26" s="43"/>
      <c r="BN26" s="43"/>
      <c r="BO26" s="43"/>
      <c r="BP26" s="44"/>
      <c r="BR26" s="47" t="s">
        <v>205</v>
      </c>
      <c r="BY26" s="59">
        <f>D119</f>
        <v>0</v>
      </c>
      <c r="CB26" s="47" t="s">
        <v>196</v>
      </c>
      <c r="CH26" s="51"/>
      <c r="CI26" s="52">
        <f>D134</f>
        <v>7.0000000000000007E-2</v>
      </c>
      <c r="CL26" s="47"/>
      <c r="CO26" s="66"/>
      <c r="CP26" s="93"/>
      <c r="CS26" s="66"/>
      <c r="CT26" s="94"/>
      <c r="CV26" s="47"/>
      <c r="CY26" s="66"/>
      <c r="CZ26" s="93"/>
      <c r="DC26" s="66"/>
      <c r="DD26" s="94"/>
      <c r="DF26" s="47"/>
      <c r="DI26" s="66"/>
      <c r="DJ26" s="93"/>
      <c r="DM26" s="66"/>
      <c r="DN26" s="94"/>
    </row>
    <row r="27" spans="2:118" x14ac:dyDescent="0.2">
      <c r="B27" s="878"/>
      <c r="C27" s="766" t="s">
        <v>249</v>
      </c>
      <c r="D27" s="631">
        <v>5000</v>
      </c>
      <c r="E27" s="762" t="s">
        <v>240</v>
      </c>
      <c r="J27" s="47"/>
      <c r="Q27" s="66"/>
      <c r="T27" s="47"/>
      <c r="W27" s="66" t="s">
        <v>250</v>
      </c>
      <c r="X27" s="93"/>
      <c r="AA27" s="66"/>
      <c r="AB27" s="95">
        <f>IF(Data!E10=0,0,(Data!E10))</f>
        <v>40</v>
      </c>
      <c r="AD27" s="47"/>
      <c r="AG27" s="66" t="s">
        <v>251</v>
      </c>
      <c r="AH27" s="93"/>
      <c r="AK27" s="66"/>
      <c r="AL27" s="96">
        <f>IF(Data!E12=0,0,(Data!E12))</f>
        <v>40</v>
      </c>
      <c r="AN27" s="47"/>
      <c r="AQ27" s="66" t="s">
        <v>252</v>
      </c>
      <c r="AR27" s="93"/>
      <c r="AU27" s="66"/>
      <c r="AV27" s="95">
        <f>IF(Data!E15=0,0,(Data!E15))</f>
        <v>40</v>
      </c>
      <c r="AX27" s="47"/>
      <c r="BA27" s="66" t="s">
        <v>253</v>
      </c>
      <c r="BB27" s="93"/>
      <c r="BE27" s="66"/>
      <c r="BF27" s="95">
        <f>IF(Data!E17=0,0,(Data!E17))</f>
        <v>40</v>
      </c>
      <c r="BH27" s="47"/>
      <c r="BK27" s="66"/>
      <c r="BL27" s="93"/>
      <c r="BO27" s="66"/>
      <c r="BP27" s="94"/>
      <c r="BR27" s="47" t="s">
        <v>254</v>
      </c>
      <c r="BY27" s="59">
        <f>SUM(BY25-BY26)</f>
        <v>245542.85714285716</v>
      </c>
      <c r="CB27" s="47" t="s">
        <v>244</v>
      </c>
      <c r="CH27" s="55"/>
      <c r="CI27" s="90">
        <f>SUM(CI22)</f>
        <v>327320</v>
      </c>
      <c r="CL27" s="47"/>
      <c r="CO27" s="66"/>
      <c r="CP27" s="93"/>
      <c r="CS27" s="66" t="s">
        <v>255</v>
      </c>
      <c r="CT27" s="97">
        <f>Data!E10</f>
        <v>40</v>
      </c>
      <c r="CV27" s="47"/>
      <c r="CY27" s="66"/>
      <c r="CZ27" s="93"/>
      <c r="DC27" s="66" t="s">
        <v>255</v>
      </c>
      <c r="DD27" s="97">
        <f>Data!E15</f>
        <v>40</v>
      </c>
      <c r="DF27" s="47"/>
      <c r="DI27" s="66"/>
      <c r="DJ27" s="93"/>
      <c r="DM27" s="66" t="s">
        <v>256</v>
      </c>
      <c r="DN27" s="98">
        <f>D171</f>
        <v>0</v>
      </c>
    </row>
    <row r="28" spans="2:118" x14ac:dyDescent="0.2">
      <c r="B28" s="878"/>
      <c r="C28" s="50" t="s">
        <v>210</v>
      </c>
      <c r="D28" s="620">
        <v>1000</v>
      </c>
      <c r="E28" s="41"/>
      <c r="J28" s="47" t="s">
        <v>257</v>
      </c>
      <c r="P28" s="99">
        <f>IF(Q22=0,Q10/Q13,(Q22))</f>
        <v>3814.1117460703554</v>
      </c>
      <c r="Q28" s="100">
        <f>Q13</f>
        <v>25</v>
      </c>
      <c r="T28" s="47"/>
      <c r="W28" s="66" t="s">
        <v>258</v>
      </c>
      <c r="Z28" s="99">
        <f>IF(AA22=0,AA10/AA13,(AA22))</f>
        <v>1353.6133497080059</v>
      </c>
      <c r="AA28" s="101"/>
      <c r="AB28" s="102">
        <f>SUM(Z28/AB27)</f>
        <v>33.840333742700146</v>
      </c>
      <c r="AD28" s="47"/>
      <c r="AG28" s="66" t="s">
        <v>258</v>
      </c>
      <c r="AJ28" s="99">
        <f>IF(AK22=0,AK10/AK13,(AK22))</f>
        <v>1353.6133497080059</v>
      </c>
      <c r="AK28" s="101"/>
      <c r="AL28" s="102">
        <f>SUM(AJ28/AL27)</f>
        <v>33.840333742700146</v>
      </c>
      <c r="AN28" s="47"/>
      <c r="AQ28" s="66" t="s">
        <v>258</v>
      </c>
      <c r="AT28" s="99">
        <f>IF(AU22=0,AU10/AU13,(AU22))</f>
        <v>2471.1888091013802</v>
      </c>
      <c r="AU28" s="101"/>
      <c r="AV28" s="102">
        <f>SUM(AT28/AV27)</f>
        <v>61.779720227534504</v>
      </c>
      <c r="AX28" s="47"/>
      <c r="BA28" s="66" t="s">
        <v>258</v>
      </c>
      <c r="BD28" s="99">
        <f>IF(BE22=0,BE10/BE13,(BE22))</f>
        <v>2471.1888091013802</v>
      </c>
      <c r="BE28" s="101"/>
      <c r="BF28" s="102">
        <f>SUM(BD28/BF27)</f>
        <v>61.779720227534504</v>
      </c>
      <c r="BH28" s="47"/>
      <c r="BK28" s="66"/>
      <c r="BL28" s="93"/>
      <c r="BO28" s="66" t="s">
        <v>259</v>
      </c>
      <c r="BP28" s="97">
        <f>Data!E19</f>
        <v>80</v>
      </c>
      <c r="BR28" s="47" t="s">
        <v>192</v>
      </c>
      <c r="BY28" s="65">
        <f>D120</f>
        <v>10</v>
      </c>
      <c r="CB28" s="47" t="s">
        <v>205</v>
      </c>
      <c r="CI28" s="59">
        <f>D136</f>
        <v>5000</v>
      </c>
      <c r="CL28" s="47"/>
      <c r="CO28" s="66" t="s">
        <v>258</v>
      </c>
      <c r="CR28" s="99">
        <f>IF(CS21=0,CS10/CS13,(CS21))</f>
        <v>0</v>
      </c>
      <c r="CS28" s="101"/>
      <c r="CT28" s="102">
        <f>SUM(CR28/CT27)</f>
        <v>0</v>
      </c>
      <c r="CV28" s="47"/>
      <c r="CY28" s="66" t="s">
        <v>258</v>
      </c>
      <c r="DB28" s="99">
        <f>IF(DC21=0,DC10/DC13,(DC21))</f>
        <v>0</v>
      </c>
      <c r="DC28" s="101"/>
      <c r="DD28" s="102">
        <f>SUM(DB28/DD27)</f>
        <v>0</v>
      </c>
      <c r="DF28" s="47"/>
      <c r="DI28" s="66"/>
      <c r="DJ28" s="93"/>
      <c r="DM28" s="66"/>
      <c r="DN28" s="98"/>
    </row>
    <row r="29" spans="2:118" x14ac:dyDescent="0.2">
      <c r="B29" s="878"/>
      <c r="C29" s="50" t="s">
        <v>260</v>
      </c>
      <c r="D29" s="769">
        <f>IF(Data!E10=0,0,((Data!E10*(Data!E37+Data!J35)*1000)/(Data!E34)))</f>
        <v>800</v>
      </c>
      <c r="E29" s="41">
        <f>SUM(D29/Data!E11)</f>
        <v>800</v>
      </c>
      <c r="J29" s="47" t="s">
        <v>261</v>
      </c>
      <c r="Q29" s="103">
        <f>Q12</f>
        <v>172000</v>
      </c>
      <c r="T29" s="47"/>
      <c r="W29" s="66" t="s">
        <v>262</v>
      </c>
      <c r="Z29" s="104">
        <f>D31/AA13</f>
        <v>160</v>
      </c>
      <c r="AA29" s="101"/>
      <c r="AB29" s="102">
        <f>SUM(Z29/AB27)*Data!E11</f>
        <v>4</v>
      </c>
      <c r="AD29" s="47"/>
      <c r="AG29" s="66" t="s">
        <v>262</v>
      </c>
      <c r="AJ29" s="104">
        <f>SUM(D52/AK13)</f>
        <v>160</v>
      </c>
      <c r="AK29" s="101"/>
      <c r="AL29" s="102">
        <f>SUM(AJ29/AL27)</f>
        <v>4</v>
      </c>
      <c r="AN29" s="47"/>
      <c r="AQ29" s="66" t="s">
        <v>262</v>
      </c>
      <c r="AT29" s="104">
        <f>D52/AU13</f>
        <v>100</v>
      </c>
      <c r="AU29" s="101"/>
      <c r="AV29" s="102">
        <f>SUM(AT29/AV27)</f>
        <v>2.5</v>
      </c>
      <c r="AX29" s="47"/>
      <c r="BA29" s="66" t="s">
        <v>262</v>
      </c>
      <c r="BD29" s="105">
        <f>D94/BE13</f>
        <v>250</v>
      </c>
      <c r="BE29" s="101"/>
      <c r="BF29" s="102">
        <f>SUM(BD29/BF27)</f>
        <v>6.25</v>
      </c>
      <c r="BH29" s="47"/>
      <c r="BK29" s="66" t="s">
        <v>258</v>
      </c>
      <c r="BN29" s="99">
        <f>IF(BO22=0,BO10/BO13,(BO22))</f>
        <v>97976.678954672781</v>
      </c>
      <c r="BO29" s="101"/>
      <c r="BP29" s="102">
        <f>SUM(BN29/BP28)</f>
        <v>1224.7084869334099</v>
      </c>
      <c r="BR29" s="47" t="s">
        <v>211</v>
      </c>
      <c r="BY29" s="61">
        <f>BY43</f>
        <v>20</v>
      </c>
      <c r="CB29" s="47" t="s">
        <v>254</v>
      </c>
      <c r="CI29" s="59">
        <f>SUM(CI27-CI28)</f>
        <v>322320</v>
      </c>
      <c r="CL29" s="47"/>
      <c r="CO29" s="66" t="s">
        <v>262</v>
      </c>
      <c r="CR29" s="104">
        <v>0</v>
      </c>
      <c r="CS29" s="101"/>
      <c r="CT29" s="102">
        <f>SUM(CR29/CT27)</f>
        <v>0</v>
      </c>
      <c r="CV29" s="47"/>
      <c r="CY29" s="66" t="s">
        <v>262</v>
      </c>
      <c r="DB29" s="104">
        <f>Results!DK14</f>
        <v>0</v>
      </c>
      <c r="DC29" s="101"/>
      <c r="DD29" s="102">
        <f>SUM(DB29/DD27)</f>
        <v>0</v>
      </c>
      <c r="DF29" s="47"/>
      <c r="DI29" s="66"/>
      <c r="DJ29" s="93"/>
      <c r="DL29" s="66" t="s">
        <v>263</v>
      </c>
      <c r="DM29" s="66" t="s">
        <v>44</v>
      </c>
      <c r="DN29" s="98">
        <f>IF(Data!E10=0,0,(DN27*(Data!E10/D168)))</f>
        <v>0</v>
      </c>
    </row>
    <row r="30" spans="2:118" ht="12.75" customHeight="1" x14ac:dyDescent="0.2">
      <c r="B30" s="878"/>
      <c r="C30" s="50" t="s">
        <v>264</v>
      </c>
      <c r="D30" s="552">
        <v>500</v>
      </c>
      <c r="E30" s="41"/>
      <c r="J30" s="47" t="s">
        <v>265</v>
      </c>
      <c r="N30" s="106">
        <v>0.03</v>
      </c>
      <c r="O30" s="53"/>
      <c r="Q30" s="48"/>
      <c r="T30" s="47"/>
      <c r="U30" s="107"/>
      <c r="Z30" s="108"/>
      <c r="AA30" s="109"/>
      <c r="AB30" s="102"/>
      <c r="AD30" s="47"/>
      <c r="AE30" s="107"/>
      <c r="AJ30" s="108"/>
      <c r="AK30" s="109"/>
      <c r="AL30" s="102"/>
      <c r="AN30" s="47"/>
      <c r="AO30" s="107"/>
      <c r="AT30" s="108"/>
      <c r="AU30" s="109"/>
      <c r="AV30" s="102"/>
      <c r="AX30" s="47"/>
      <c r="AY30" s="107"/>
      <c r="BD30" s="108"/>
      <c r="BE30" s="109"/>
      <c r="BF30" s="102"/>
      <c r="BH30" s="47"/>
      <c r="BK30" s="66" t="s">
        <v>262</v>
      </c>
      <c r="BN30" s="104">
        <v>0</v>
      </c>
      <c r="BO30" s="101"/>
      <c r="BP30" s="102">
        <f>SUM(BN30/BP28)</f>
        <v>0</v>
      </c>
      <c r="BR30" s="64" t="s">
        <v>218</v>
      </c>
      <c r="BT30" s="3">
        <f>BY29</f>
        <v>20</v>
      </c>
      <c r="BU30" s="1" t="s">
        <v>219</v>
      </c>
      <c r="BY30" s="59">
        <f>D130</f>
        <v>0</v>
      </c>
      <c r="CB30" s="47" t="s">
        <v>266</v>
      </c>
      <c r="CI30" s="110">
        <f>IF(D137=0,1,D137)</f>
        <v>10</v>
      </c>
      <c r="CL30" s="47"/>
      <c r="CO30" s="66" t="s">
        <v>267</v>
      </c>
      <c r="CP30" s="111">
        <v>0</v>
      </c>
      <c r="CQ30" s="112"/>
      <c r="CR30" s="105">
        <f>SUM(CR28*CP30)</f>
        <v>0</v>
      </c>
      <c r="CS30" s="113"/>
      <c r="CT30" s="102">
        <f>SUM(CR30/CT27)</f>
        <v>0</v>
      </c>
      <c r="CV30" s="47"/>
      <c r="CY30" s="66" t="s">
        <v>267</v>
      </c>
      <c r="CZ30" s="111">
        <v>0</v>
      </c>
      <c r="DA30" s="112"/>
      <c r="DB30" s="105">
        <f>SUM(DB28*CZ30)</f>
        <v>0</v>
      </c>
      <c r="DC30" s="113"/>
      <c r="DD30" s="102">
        <f>SUM(DB30/DD27)</f>
        <v>0</v>
      </c>
      <c r="DF30" s="47"/>
      <c r="DI30" s="66"/>
      <c r="DJ30" s="93"/>
      <c r="DL30" s="66" t="s">
        <v>268</v>
      </c>
      <c r="DM30" s="66" t="s">
        <v>44</v>
      </c>
      <c r="DN30" s="98">
        <f>IF(Data!E12=0,0,(DN27*(Data!E12/D168)))</f>
        <v>0</v>
      </c>
    </row>
    <row r="31" spans="2:118" ht="12.75" customHeight="1" x14ac:dyDescent="0.2">
      <c r="B31" s="878"/>
      <c r="C31" s="50" t="s">
        <v>269</v>
      </c>
      <c r="D31" s="552">
        <v>2000</v>
      </c>
      <c r="E31" s="41" t="s">
        <v>82</v>
      </c>
      <c r="J31" s="64" t="s">
        <v>270</v>
      </c>
      <c r="K31" s="114"/>
      <c r="L31" s="3">
        <f>Q28</f>
        <v>25</v>
      </c>
      <c r="M31" s="1" t="s">
        <v>271</v>
      </c>
      <c r="Q31" s="115">
        <f>SUM(Q29*(1+N30)^Q28)</f>
        <v>360129.8039005248</v>
      </c>
      <c r="T31" s="116"/>
      <c r="U31" s="38"/>
      <c r="V31" s="117"/>
      <c r="W31" s="118" t="s">
        <v>272</v>
      </c>
      <c r="X31" s="117"/>
      <c r="Y31" s="117"/>
      <c r="Z31" s="119">
        <f>SUM(Z28:Z29)</f>
        <v>1513.6133497080059</v>
      </c>
      <c r="AA31" s="120">
        <f>SUM(AA28:AA29)</f>
        <v>0</v>
      </c>
      <c r="AB31" s="121">
        <f>SUM(AB28:AB29)</f>
        <v>37.840333742700146</v>
      </c>
      <c r="AD31" s="116"/>
      <c r="AE31" s="38"/>
      <c r="AF31" s="117"/>
      <c r="AG31" s="118" t="s">
        <v>273</v>
      </c>
      <c r="AH31" s="117"/>
      <c r="AI31" s="117"/>
      <c r="AJ31" s="119">
        <f>SUM(AJ28:AJ29)</f>
        <v>1513.6133497080059</v>
      </c>
      <c r="AK31" s="120">
        <f>SUM(AK28:AK29)</f>
        <v>0</v>
      </c>
      <c r="AL31" s="121">
        <f>SUM(AL28:AL29)</f>
        <v>37.840333742700146</v>
      </c>
      <c r="AN31" s="116"/>
      <c r="AO31" s="38"/>
      <c r="AP31" s="117"/>
      <c r="AQ31" s="118" t="s">
        <v>272</v>
      </c>
      <c r="AR31" s="117"/>
      <c r="AS31" s="117"/>
      <c r="AT31" s="119">
        <f>SUM(AT28:AT29)</f>
        <v>2571.1888091013802</v>
      </c>
      <c r="AU31" s="120">
        <f>SUM(AU28:AU29)</f>
        <v>0</v>
      </c>
      <c r="AV31" s="121">
        <f>SUM(AV28:AV29)</f>
        <v>64.279720227534511</v>
      </c>
      <c r="AX31" s="116"/>
      <c r="AY31" s="38"/>
      <c r="AZ31" s="117"/>
      <c r="BA31" s="118" t="s">
        <v>272</v>
      </c>
      <c r="BB31" s="117"/>
      <c r="BC31" s="117"/>
      <c r="BD31" s="119">
        <f>SUM(BD28:BD29)</f>
        <v>2721.1888091013802</v>
      </c>
      <c r="BE31" s="120">
        <f>SUM(BE28:BE29)</f>
        <v>0</v>
      </c>
      <c r="BF31" s="121">
        <f>SUM(BF28:BF29)</f>
        <v>68.029720227534511</v>
      </c>
      <c r="BH31" s="47"/>
      <c r="BK31" s="66" t="s">
        <v>267</v>
      </c>
      <c r="BL31" s="111">
        <f>D112</f>
        <v>0.02</v>
      </c>
      <c r="BM31" s="112"/>
      <c r="BN31" s="105">
        <f>SUM(BN29*BL31)</f>
        <v>1959.5335790934557</v>
      </c>
      <c r="BO31" s="113"/>
      <c r="BP31" s="102">
        <f>SUM(BN31/BP28)</f>
        <v>24.494169738668198</v>
      </c>
      <c r="BR31" s="47"/>
      <c r="BY31" s="48"/>
      <c r="CB31" s="47" t="s">
        <v>274</v>
      </c>
      <c r="CI31" s="61">
        <f>CI46</f>
        <v>14</v>
      </c>
      <c r="CL31" s="47"/>
      <c r="CM31" s="107"/>
      <c r="CR31" s="108"/>
      <c r="CS31" s="109"/>
      <c r="CT31" s="102"/>
      <c r="CV31" s="47"/>
      <c r="CW31" s="107"/>
      <c r="DB31" s="108"/>
      <c r="DC31" s="109"/>
      <c r="DD31" s="102"/>
      <c r="DF31" s="47"/>
      <c r="DI31" s="66"/>
      <c r="DJ31" s="93"/>
      <c r="DL31" s="66" t="s">
        <v>275</v>
      </c>
      <c r="DM31" s="66" t="s">
        <v>44</v>
      </c>
      <c r="DN31" s="98">
        <f>IF(Data!E15=0,0,(DN27*(Data!E15/D168)))</f>
        <v>0</v>
      </c>
    </row>
    <row r="32" spans="2:118" x14ac:dyDescent="0.2">
      <c r="B32" s="878"/>
      <c r="C32" s="50" t="s">
        <v>276</v>
      </c>
      <c r="D32" s="769">
        <f>Data!E59</f>
        <v>55</v>
      </c>
      <c r="E32" s="122">
        <f>SUM(D32*1.341)</f>
        <v>73.754999999999995</v>
      </c>
      <c r="J32" s="47"/>
      <c r="Q32" s="48"/>
      <c r="T32" s="83"/>
      <c r="U32" s="84"/>
      <c r="W32" s="66" t="s">
        <v>277</v>
      </c>
      <c r="X32" s="93"/>
      <c r="AA32" s="66" t="s">
        <v>278</v>
      </c>
      <c r="AB32" s="123">
        <f>D29</f>
        <v>800</v>
      </c>
      <c r="AD32" s="83"/>
      <c r="AE32" s="84"/>
      <c r="AF32" s="84"/>
      <c r="AG32" s="66" t="s">
        <v>279</v>
      </c>
      <c r="AH32" s="93"/>
      <c r="AK32" s="66" t="s">
        <v>278</v>
      </c>
      <c r="AL32" s="123">
        <f>D50</f>
        <v>800</v>
      </c>
      <c r="AN32" s="83"/>
      <c r="AO32" s="84"/>
      <c r="AP32" s="84"/>
      <c r="AQ32" s="66" t="s">
        <v>280</v>
      </c>
      <c r="AR32" s="93"/>
      <c r="AU32" s="66" t="s">
        <v>278</v>
      </c>
      <c r="AV32" s="124">
        <f>D71</f>
        <v>1000</v>
      </c>
      <c r="AX32" s="83"/>
      <c r="AY32" s="84"/>
      <c r="BA32" s="66" t="s">
        <v>277</v>
      </c>
      <c r="BB32" s="93"/>
      <c r="BE32" s="66" t="s">
        <v>278</v>
      </c>
      <c r="BF32" s="123">
        <f>D92</f>
        <v>1000</v>
      </c>
      <c r="BH32" s="47"/>
      <c r="BI32" s="107"/>
      <c r="BN32" s="108"/>
      <c r="BO32" s="109"/>
      <c r="BP32" s="102"/>
      <c r="BR32" s="47"/>
      <c r="BT32" s="66"/>
      <c r="BU32" s="66" t="s">
        <v>223</v>
      </c>
      <c r="BV32" s="67">
        <f>(BY27)</f>
        <v>245542.85714285716</v>
      </c>
      <c r="BW32" s="67" t="s">
        <v>224</v>
      </c>
      <c r="BX32" s="68">
        <f>BY24</f>
        <v>7.0000000000000007E-2</v>
      </c>
      <c r="BY32" s="69">
        <f>SUM(BY27*(1+BY24)^BY28)</f>
        <v>483019.96470132936</v>
      </c>
      <c r="CB32" s="64" t="s">
        <v>281</v>
      </c>
      <c r="CE32" s="3">
        <f>CI46</f>
        <v>14</v>
      </c>
      <c r="CF32" s="1" t="s">
        <v>219</v>
      </c>
      <c r="CI32" s="59">
        <f>BY30</f>
        <v>0</v>
      </c>
      <c r="CL32" s="116"/>
      <c r="CM32" s="38"/>
      <c r="CN32" s="117"/>
      <c r="CO32" s="118" t="s">
        <v>272</v>
      </c>
      <c r="CP32" s="117"/>
      <c r="CQ32" s="117"/>
      <c r="CR32" s="119">
        <f>SUM(CR28:CR29)</f>
        <v>0</v>
      </c>
      <c r="CS32" s="120">
        <f>SUM(CS28:CS29)</f>
        <v>0</v>
      </c>
      <c r="CT32" s="121">
        <f>SUM(CT28:CT30)</f>
        <v>0</v>
      </c>
      <c r="CV32" s="116"/>
      <c r="CW32" s="38"/>
      <c r="CX32" s="117"/>
      <c r="CY32" s="118" t="s">
        <v>272</v>
      </c>
      <c r="CZ32" s="117"/>
      <c r="DA32" s="117"/>
      <c r="DB32" s="119">
        <f>SUM(DB28:DB29)</f>
        <v>0</v>
      </c>
      <c r="DC32" s="120">
        <f>SUM(DC28:DC29)</f>
        <v>0</v>
      </c>
      <c r="DD32" s="121">
        <f>SUM(DD28:DD30)</f>
        <v>0</v>
      </c>
      <c r="DF32" s="47"/>
      <c r="DI32" s="66"/>
      <c r="DJ32" s="93"/>
      <c r="DL32" s="66" t="s">
        <v>282</v>
      </c>
      <c r="DM32" s="66" t="s">
        <v>44</v>
      </c>
      <c r="DN32" s="98">
        <f>IF(Data!E17=0,0,(DN27*(Data!E17/D168)))</f>
        <v>0</v>
      </c>
    </row>
    <row r="33" spans="2:118" x14ac:dyDescent="0.2">
      <c r="B33" s="878"/>
      <c r="C33" s="50" t="s">
        <v>78</v>
      </c>
      <c r="D33" s="755">
        <f>Data!E60</f>
        <v>0.47</v>
      </c>
      <c r="E33" s="41"/>
      <c r="J33" s="47"/>
      <c r="M33" s="66" t="s">
        <v>283</v>
      </c>
      <c r="N33" s="125">
        <f>Q15</f>
        <v>0</v>
      </c>
      <c r="P33" s="66" t="s">
        <v>284</v>
      </c>
      <c r="Q33" s="69">
        <f>N33</f>
        <v>0</v>
      </c>
      <c r="T33" s="47"/>
      <c r="V33" s="66"/>
      <c r="W33" s="66" t="s">
        <v>74</v>
      </c>
      <c r="X33" s="126">
        <f>D32</f>
        <v>55</v>
      </c>
      <c r="Z33" s="105">
        <f>SUM(AB32*X33)*X34</f>
        <v>20680</v>
      </c>
      <c r="AA33" s="113"/>
      <c r="AB33" s="102">
        <f>SUM(Z33/AB27)</f>
        <v>517</v>
      </c>
      <c r="AD33" s="47"/>
      <c r="AF33" s="66"/>
      <c r="AG33" s="66" t="s">
        <v>285</v>
      </c>
      <c r="AH33" s="126">
        <f>D53</f>
        <v>11</v>
      </c>
      <c r="AJ33" s="105">
        <f>SUM(AL32*AH33)*AH34</f>
        <v>11440</v>
      </c>
      <c r="AK33" s="113"/>
      <c r="AL33" s="102">
        <f>SUM(AJ33/AL27)</f>
        <v>286</v>
      </c>
      <c r="AN33" s="47"/>
      <c r="AP33" s="66"/>
      <c r="AQ33" s="66" t="s">
        <v>74</v>
      </c>
      <c r="AR33" s="126">
        <f>D74</f>
        <v>37</v>
      </c>
      <c r="AT33" s="105">
        <f>SUM(AV32*AR33)*AR34</f>
        <v>17242</v>
      </c>
      <c r="AU33" s="113"/>
      <c r="AV33" s="102">
        <f>SUM(AT33/AV27)</f>
        <v>431.05</v>
      </c>
      <c r="AX33" s="47"/>
      <c r="AZ33" s="66"/>
      <c r="BA33" s="66" t="s">
        <v>285</v>
      </c>
      <c r="BB33" s="126">
        <f>D95</f>
        <v>11</v>
      </c>
      <c r="BD33" s="105">
        <f>SUM(BF32*BB33)*BB34</f>
        <v>14300</v>
      </c>
      <c r="BE33" s="113"/>
      <c r="BF33" s="102">
        <f>SUM(BD33/BF27)</f>
        <v>357.5</v>
      </c>
      <c r="BH33" s="116"/>
      <c r="BI33" s="38"/>
      <c r="BJ33" s="117"/>
      <c r="BK33" s="118" t="s">
        <v>272</v>
      </c>
      <c r="BL33" s="117"/>
      <c r="BM33" s="117"/>
      <c r="BN33" s="119">
        <f>SUM(BN29:BN30)</f>
        <v>97976.678954672781</v>
      </c>
      <c r="BO33" s="120">
        <f>SUM(BO29:BO30)</f>
        <v>0</v>
      </c>
      <c r="BP33" s="121">
        <f>SUM(BP29:BP31)</f>
        <v>1249.2026566720781</v>
      </c>
      <c r="BR33" s="47"/>
      <c r="BT33" s="66"/>
      <c r="BU33" s="66" t="s">
        <v>226</v>
      </c>
      <c r="BV33" s="67">
        <f>BY30</f>
        <v>0</v>
      </c>
      <c r="BW33" s="67" t="s">
        <v>224</v>
      </c>
      <c r="BX33" s="70">
        <f>BY24</f>
        <v>7.0000000000000007E-2</v>
      </c>
      <c r="BY33" s="69">
        <f>SUM(BY30*(1+BY24)^BY29)</f>
        <v>0</v>
      </c>
      <c r="CB33" s="47"/>
      <c r="CI33" s="48"/>
      <c r="CL33" s="83"/>
      <c r="CM33" s="84"/>
      <c r="CN33" s="84"/>
      <c r="CO33" s="84"/>
      <c r="CP33" s="84"/>
      <c r="CQ33" s="84"/>
      <c r="CR33" s="127"/>
      <c r="CS33" s="128"/>
      <c r="CT33" s="129"/>
      <c r="CV33" s="83"/>
      <c r="CW33" s="84"/>
      <c r="CX33" s="84"/>
      <c r="CY33" s="84"/>
      <c r="CZ33" s="84"/>
      <c r="DA33" s="84"/>
      <c r="DB33" s="127"/>
      <c r="DC33" s="128"/>
      <c r="DD33" s="129"/>
      <c r="DF33" s="47"/>
      <c r="DI33" s="66"/>
      <c r="DJ33" s="93"/>
      <c r="DM33" s="66"/>
      <c r="DN33" s="98"/>
    </row>
    <row r="34" spans="2:118" x14ac:dyDescent="0.2">
      <c r="B34" s="878"/>
      <c r="C34" s="130" t="s">
        <v>286</v>
      </c>
      <c r="D34" s="669">
        <v>0.02</v>
      </c>
      <c r="E34" s="131">
        <f>Z35</f>
        <v>320</v>
      </c>
      <c r="J34" s="47"/>
      <c r="M34" s="66" t="s">
        <v>287</v>
      </c>
      <c r="N34" s="132">
        <v>10</v>
      </c>
      <c r="O34" s="53" t="s">
        <v>288</v>
      </c>
      <c r="P34" s="66" t="s">
        <v>289</v>
      </c>
      <c r="Q34" s="69">
        <f>SUM(Q31*(N34/100))</f>
        <v>36012.980390052478</v>
      </c>
      <c r="T34" s="47"/>
      <c r="W34" s="66" t="s">
        <v>290</v>
      </c>
      <c r="X34" s="126">
        <f>D33</f>
        <v>0.47</v>
      </c>
      <c r="Z34" s="105"/>
      <c r="AA34" s="113"/>
      <c r="AB34" s="102"/>
      <c r="AD34" s="47"/>
      <c r="AG34" s="66" t="s">
        <v>290</v>
      </c>
      <c r="AH34" s="126">
        <f>D54</f>
        <v>1.3</v>
      </c>
      <c r="AJ34" s="105"/>
      <c r="AK34" s="113"/>
      <c r="AL34" s="102"/>
      <c r="AN34" s="47"/>
      <c r="AQ34" s="66" t="s">
        <v>291</v>
      </c>
      <c r="AR34" s="126">
        <f>D75</f>
        <v>0.46600000000000003</v>
      </c>
      <c r="AT34" s="105"/>
      <c r="AU34" s="113"/>
      <c r="AV34" s="102"/>
      <c r="AX34" s="47"/>
      <c r="BA34" s="66" t="s">
        <v>290</v>
      </c>
      <c r="BB34" s="126">
        <f>D96</f>
        <v>1.3</v>
      </c>
      <c r="BD34" s="105"/>
      <c r="BE34" s="113"/>
      <c r="BF34" s="102"/>
      <c r="BH34" s="83"/>
      <c r="BI34" s="84"/>
      <c r="BJ34" s="84"/>
      <c r="BK34" s="84"/>
      <c r="BL34" s="84"/>
      <c r="BM34" s="84"/>
      <c r="BN34" s="127"/>
      <c r="BO34" s="128"/>
      <c r="BP34" s="129"/>
      <c r="BR34" s="73"/>
      <c r="BS34" s="74"/>
      <c r="BT34" s="74"/>
      <c r="BU34" s="74"/>
      <c r="BV34" s="74"/>
      <c r="BW34" s="74"/>
      <c r="BX34" s="75" t="s">
        <v>230</v>
      </c>
      <c r="BY34" s="76">
        <f>IF(BY32=0,BY33,(BY32-BY33))</f>
        <v>483019.96470132936</v>
      </c>
      <c r="CB34" s="47"/>
      <c r="CD34" s="66"/>
      <c r="CE34" s="66" t="s">
        <v>223</v>
      </c>
      <c r="CF34" s="67">
        <f>(CI29)</f>
        <v>322320</v>
      </c>
      <c r="CG34" s="67" t="s">
        <v>224</v>
      </c>
      <c r="CH34" s="68">
        <f>CI26</f>
        <v>7.0000000000000007E-2</v>
      </c>
      <c r="CI34" s="69">
        <f>SUM(CI29*(1+CI26)^CI30)</f>
        <v>634052.22548157279</v>
      </c>
      <c r="CL34" s="91" t="s">
        <v>247</v>
      </c>
      <c r="CM34" s="92"/>
      <c r="CN34" s="92"/>
      <c r="CO34" s="92"/>
      <c r="CP34" s="92"/>
      <c r="CQ34" s="92"/>
      <c r="CR34" s="92"/>
      <c r="CS34" s="133"/>
      <c r="CV34" s="91" t="s">
        <v>247</v>
      </c>
      <c r="CW34" s="92"/>
      <c r="CX34" s="92"/>
      <c r="CY34" s="92"/>
      <c r="CZ34" s="92"/>
      <c r="DA34" s="92"/>
      <c r="DB34" s="92"/>
      <c r="DC34" s="133"/>
      <c r="DF34" s="47"/>
      <c r="DI34" s="66"/>
      <c r="DJ34" s="93"/>
      <c r="DM34" s="66"/>
      <c r="DN34" s="97"/>
    </row>
    <row r="35" spans="2:118" x14ac:dyDescent="0.2">
      <c r="B35" s="878"/>
      <c r="C35" s="40" t="s">
        <v>265</v>
      </c>
      <c r="D35" s="669">
        <v>0.03</v>
      </c>
      <c r="E35" s="41"/>
      <c r="J35" s="47"/>
      <c r="M35" s="66" t="s">
        <v>292</v>
      </c>
      <c r="N35" s="132">
        <v>30</v>
      </c>
      <c r="O35" s="53" t="s">
        <v>288</v>
      </c>
      <c r="P35" s="66" t="s">
        <v>293</v>
      </c>
      <c r="Q35" s="69">
        <f>SUM(Q34*(N35/100))</f>
        <v>10803.894117015743</v>
      </c>
      <c r="T35" s="47"/>
      <c r="W35" s="66" t="s">
        <v>286</v>
      </c>
      <c r="X35" s="111">
        <f>D34</f>
        <v>0.02</v>
      </c>
      <c r="Y35" s="112"/>
      <c r="Z35" s="105">
        <f>SUM((AB32/1000)*(X35)*AA12)</f>
        <v>320</v>
      </c>
      <c r="AA35" s="113"/>
      <c r="AB35" s="102">
        <f>SUM(Z35/AB27)</f>
        <v>8</v>
      </c>
      <c r="AE35" s="66" t="s">
        <v>294</v>
      </c>
      <c r="AG35" s="66" t="s">
        <v>295</v>
      </c>
      <c r="AH35" s="134"/>
      <c r="AJ35" s="105">
        <f>SUM(AJ33/10)</f>
        <v>1144</v>
      </c>
      <c r="AK35" s="113"/>
      <c r="AL35" s="102">
        <f>SUM(AJ35/AL27)</f>
        <v>28.6</v>
      </c>
      <c r="AN35" s="47"/>
      <c r="AQ35" s="66" t="s">
        <v>286</v>
      </c>
      <c r="AR35" s="111">
        <f>D76</f>
        <v>0.02</v>
      </c>
      <c r="AS35" s="112"/>
      <c r="AT35" s="105">
        <f>SUM((AV32/1000)*(AR35)*AU12)</f>
        <v>1500</v>
      </c>
      <c r="AU35" s="113"/>
      <c r="AV35" s="102">
        <f>SUM(AT35/AV27)</f>
        <v>37.5</v>
      </c>
      <c r="AY35" s="66" t="s">
        <v>294</v>
      </c>
      <c r="BA35" s="66" t="s">
        <v>295</v>
      </c>
      <c r="BB35" s="134"/>
      <c r="BD35" s="105">
        <f>SUM(BD33/10)</f>
        <v>1430</v>
      </c>
      <c r="BE35" s="113"/>
      <c r="BF35" s="102">
        <f>SUM(BD35/BF27)</f>
        <v>35.75</v>
      </c>
      <c r="BH35" s="91" t="s">
        <v>247</v>
      </c>
      <c r="BI35" s="92"/>
      <c r="BJ35" s="92"/>
      <c r="BK35" s="92"/>
      <c r="BL35" s="92"/>
      <c r="BM35" s="92"/>
      <c r="BN35" s="92"/>
      <c r="BO35" s="133"/>
      <c r="BR35" s="47"/>
      <c r="BX35" s="66" t="s">
        <v>232</v>
      </c>
      <c r="BY35" s="69">
        <f>IF(BY27=0,0,(BY34/((((1+(BY24))^BY28)-1)/(BY24))))</f>
        <v>34959.778812542063</v>
      </c>
      <c r="CB35" s="47"/>
      <c r="CD35" s="66"/>
      <c r="CE35" s="66" t="s">
        <v>226</v>
      </c>
      <c r="CF35" s="67">
        <f>CI32</f>
        <v>0</v>
      </c>
      <c r="CG35" s="67" t="s">
        <v>224</v>
      </c>
      <c r="CH35" s="70">
        <f>CI26</f>
        <v>7.0000000000000007E-2</v>
      </c>
      <c r="CI35" s="69">
        <f>SUM(CI32*(1+CI26)^CI31)</f>
        <v>0</v>
      </c>
      <c r="CL35" s="47"/>
      <c r="CS35" s="48"/>
      <c r="CV35" s="47"/>
      <c r="DC35" s="48"/>
      <c r="DF35" s="47"/>
      <c r="DI35"/>
      <c r="DJ35" s="66" t="s">
        <v>296</v>
      </c>
      <c r="DK35" s="135" t="s">
        <v>297</v>
      </c>
      <c r="DL35" s="136">
        <f>SUM(DN27*Data!E150)</f>
        <v>0</v>
      </c>
      <c r="DM35" s="101"/>
      <c r="DN35" s="102" t="e">
        <f>SUM(DL35/DN27)*DN29</f>
        <v>#DIV/0!</v>
      </c>
    </row>
    <row r="36" spans="2:118" ht="12.75" customHeight="1" x14ac:dyDescent="0.2">
      <c r="B36" s="878"/>
      <c r="C36" s="50"/>
      <c r="D36" s="770" t="s">
        <v>73</v>
      </c>
      <c r="E36" s="41" t="s">
        <v>74</v>
      </c>
      <c r="J36" s="137"/>
      <c r="K36" s="107"/>
      <c r="L36" s="107"/>
      <c r="M36" s="107"/>
      <c r="N36" s="107"/>
      <c r="O36" s="107"/>
      <c r="P36" s="138" t="s">
        <v>298</v>
      </c>
      <c r="Q36" s="139">
        <f>SUM(Q34/Q13)</f>
        <v>1440.5192156020992</v>
      </c>
      <c r="T36" s="47"/>
      <c r="Z36" s="105"/>
      <c r="AA36" s="140"/>
      <c r="AB36" s="102"/>
      <c r="AD36" s="47"/>
      <c r="AG36" s="66" t="s">
        <v>286</v>
      </c>
      <c r="AH36" s="111">
        <f>D55</f>
        <v>0.04</v>
      </c>
      <c r="AI36" s="112" t="s">
        <v>288</v>
      </c>
      <c r="AJ36" s="105">
        <f>SUM((AL32/1000)*((AH36)*AK12))</f>
        <v>640</v>
      </c>
      <c r="AK36" s="113"/>
      <c r="AL36" s="102">
        <f>SUM(AJ36/AL27)</f>
        <v>16</v>
      </c>
      <c r="AN36" s="47"/>
      <c r="AT36" s="105"/>
      <c r="AU36" s="140"/>
      <c r="AV36" s="102"/>
      <c r="AX36" s="47"/>
      <c r="BA36" s="66" t="s">
        <v>286</v>
      </c>
      <c r="BB36" s="111">
        <f>D97</f>
        <v>0.04</v>
      </c>
      <c r="BC36" s="112"/>
      <c r="BD36" s="105">
        <f>SUM((BF32/1000)*((BB36)*BE12))</f>
        <v>3000</v>
      </c>
      <c r="BE36" s="113"/>
      <c r="BF36" s="102">
        <f>SUM(BD36/BF27)</f>
        <v>75</v>
      </c>
      <c r="BH36" s="47"/>
      <c r="BO36" s="48"/>
      <c r="BR36" s="47"/>
      <c r="BX36" s="66" t="s">
        <v>235</v>
      </c>
      <c r="BY36" s="69">
        <f>IF(BY27=0,0,(BY30*BY24))</f>
        <v>0</v>
      </c>
      <c r="CB36" s="73"/>
      <c r="CC36" s="74"/>
      <c r="CD36" s="74"/>
      <c r="CE36" s="74"/>
      <c r="CF36" s="74"/>
      <c r="CG36" s="74"/>
      <c r="CH36" s="75" t="s">
        <v>230</v>
      </c>
      <c r="CI36" s="76">
        <f>IF(CI34=0,CI35,(CI34-CI35))</f>
        <v>634052.22548157279</v>
      </c>
      <c r="CL36" s="47" t="s">
        <v>257</v>
      </c>
      <c r="CR36" s="66" t="s">
        <v>219</v>
      </c>
      <c r="CS36" s="141">
        <f>CS13</f>
        <v>15</v>
      </c>
      <c r="CV36" s="47" t="s">
        <v>257</v>
      </c>
      <c r="DB36" s="66" t="s">
        <v>219</v>
      </c>
      <c r="DC36" s="141">
        <f>DC13</f>
        <v>15</v>
      </c>
      <c r="DF36" s="47"/>
      <c r="DI36"/>
      <c r="DJ36" s="66" t="s">
        <v>296</v>
      </c>
      <c r="DK36" s="135" t="s">
        <v>299</v>
      </c>
      <c r="DL36" s="136">
        <f>SUM(DN27*Data!E150)</f>
        <v>0</v>
      </c>
      <c r="DM36" s="101"/>
      <c r="DN36" s="102" t="e">
        <f>SUM(DL36/DN27)*DN30</f>
        <v>#DIV/0!</v>
      </c>
    </row>
    <row r="37" spans="2:118" ht="12.75" customHeight="1" x14ac:dyDescent="0.2">
      <c r="B37" s="879"/>
      <c r="C37" s="771" t="s">
        <v>300</v>
      </c>
      <c r="D37" s="772">
        <f>SUM(D32*D29*D33)</f>
        <v>20680</v>
      </c>
      <c r="E37" s="773">
        <f>SUM(D29*D32)</f>
        <v>44000</v>
      </c>
      <c r="J37" s="47"/>
      <c r="P37" s="66" t="s">
        <v>301</v>
      </c>
      <c r="Q37" s="103">
        <f>SUM(Q31-Q33-Q34+Q35)</f>
        <v>334920.71762748808</v>
      </c>
      <c r="T37" s="116"/>
      <c r="U37" s="117"/>
      <c r="V37" s="117"/>
      <c r="W37" s="118" t="s">
        <v>302</v>
      </c>
      <c r="X37" s="117"/>
      <c r="Y37" s="117"/>
      <c r="Z37" s="142">
        <f>SUM(Z33:Z35)</f>
        <v>21000</v>
      </c>
      <c r="AA37" s="143">
        <f>SUM(AA33:AA35)</f>
        <v>0</v>
      </c>
      <c r="AB37" s="144">
        <f>SUM(AB33:AB35)</f>
        <v>525</v>
      </c>
      <c r="AD37" s="47"/>
      <c r="AJ37" s="105"/>
      <c r="AK37" s="140"/>
      <c r="AL37" s="102"/>
      <c r="AN37" s="116"/>
      <c r="AO37" s="117"/>
      <c r="AP37" s="117"/>
      <c r="AQ37" s="118" t="s">
        <v>302</v>
      </c>
      <c r="AR37" s="117"/>
      <c r="AS37" s="117"/>
      <c r="AT37" s="142">
        <f>SUM(AT33:AT35)</f>
        <v>18742</v>
      </c>
      <c r="AU37" s="143">
        <f>SUM(AU33:AU35)</f>
        <v>0</v>
      </c>
      <c r="AV37" s="144">
        <f>SUM(AV33:AV35)</f>
        <v>468.55</v>
      </c>
      <c r="AX37" s="47"/>
      <c r="BD37" s="105"/>
      <c r="BE37" s="140"/>
      <c r="BF37" s="102"/>
      <c r="BH37" s="47" t="s">
        <v>257</v>
      </c>
      <c r="BN37" s="66" t="s">
        <v>219</v>
      </c>
      <c r="BO37" s="141">
        <f>BO13</f>
        <v>20</v>
      </c>
      <c r="BR37" s="78"/>
      <c r="BS37" s="79"/>
      <c r="BT37" s="79"/>
      <c r="BU37" s="79"/>
      <c r="BV37" s="79"/>
      <c r="BW37" s="79"/>
      <c r="BX37" s="80" t="s">
        <v>236</v>
      </c>
      <c r="BY37" s="81">
        <f>SUM(BY35-BY36)</f>
        <v>34959.778812542063</v>
      </c>
      <c r="BZ37" s="38"/>
      <c r="CB37" s="47"/>
      <c r="CH37" s="66" t="s">
        <v>232</v>
      </c>
      <c r="CI37" s="69">
        <f>IF(CI29=0,0,(CI36/((((1+(CI26))^CI30)-1)/(CI26))))</f>
        <v>45891.116679084189</v>
      </c>
      <c r="CL37" s="47" t="s">
        <v>261</v>
      </c>
      <c r="CS37" s="103">
        <f>CS12</f>
        <v>0</v>
      </c>
      <c r="CV37" s="47" t="s">
        <v>261</v>
      </c>
      <c r="DC37" s="103">
        <f>DC12</f>
        <v>0</v>
      </c>
      <c r="DF37" s="47"/>
      <c r="DI37" s="66"/>
      <c r="DJ37" s="66" t="s">
        <v>296</v>
      </c>
      <c r="DK37" s="145" t="s">
        <v>303</v>
      </c>
      <c r="DL37" s="136">
        <f>SUM(DN27*Data!E150)</f>
        <v>0</v>
      </c>
      <c r="DM37" s="146"/>
      <c r="DN37" s="102" t="e">
        <f>SUM(DL37/DN27)*DN31</f>
        <v>#DIV/0!</v>
      </c>
    </row>
    <row r="38" spans="2:118" x14ac:dyDescent="0.2">
      <c r="B38" s="880"/>
      <c r="C38" s="880"/>
      <c r="D38" s="880"/>
      <c r="E38" s="880"/>
      <c r="J38" s="87"/>
      <c r="K38" s="88"/>
      <c r="L38" s="88"/>
      <c r="M38" s="88"/>
      <c r="N38" s="88"/>
      <c r="O38" s="88"/>
      <c r="P38" s="88"/>
      <c r="Q38" s="147"/>
      <c r="T38" s="47"/>
      <c r="Z38" s="105" t="s">
        <v>304</v>
      </c>
      <c r="AA38" s="140"/>
      <c r="AB38" s="148" t="s">
        <v>61</v>
      </c>
      <c r="AD38" s="116"/>
      <c r="AE38" s="117"/>
      <c r="AF38" s="117"/>
      <c r="AG38" s="118" t="s">
        <v>305</v>
      </c>
      <c r="AH38" s="117"/>
      <c r="AI38" s="117"/>
      <c r="AJ38" s="142">
        <f>SUM(AJ33:AJ36)</f>
        <v>13224</v>
      </c>
      <c r="AK38" s="143">
        <f>SUM(AK33:AK36)</f>
        <v>0</v>
      </c>
      <c r="AL38" s="144">
        <f>SUM(AL33:AL36)</f>
        <v>330.6</v>
      </c>
      <c r="AN38" s="47"/>
      <c r="AT38" s="105" t="s">
        <v>304</v>
      </c>
      <c r="AU38" s="140"/>
      <c r="AV38" s="148" t="s">
        <v>61</v>
      </c>
      <c r="AX38" s="116"/>
      <c r="AY38" s="117"/>
      <c r="AZ38" s="117"/>
      <c r="BA38" s="118" t="s">
        <v>302</v>
      </c>
      <c r="BB38" s="117"/>
      <c r="BC38" s="117"/>
      <c r="BD38" s="142">
        <f>SUM(BD33:BD36)</f>
        <v>18730</v>
      </c>
      <c r="BE38" s="143">
        <f>SUM(BE33:BE36)</f>
        <v>0</v>
      </c>
      <c r="BF38" s="144">
        <f>SUM(BF33:BF36)</f>
        <v>468.25</v>
      </c>
      <c r="BH38" s="47" t="s">
        <v>261</v>
      </c>
      <c r="BO38" s="103">
        <f>BO12</f>
        <v>420000</v>
      </c>
      <c r="BR38" s="83"/>
      <c r="BS38" s="84"/>
      <c r="BT38" s="84"/>
      <c r="BU38" s="84"/>
      <c r="BV38" s="84"/>
      <c r="BW38" s="84"/>
      <c r="BX38" s="85" t="s">
        <v>238</v>
      </c>
      <c r="BY38" s="86">
        <f>SUM(BY27/((1-((1+BY24)^-BY29))/BY24))</f>
        <v>23177.508681072555</v>
      </c>
      <c r="CB38" s="47"/>
      <c r="CH38" s="66" t="s">
        <v>235</v>
      </c>
      <c r="CI38" s="69">
        <f>IF(CI29=0,0,(CI32*CI26))</f>
        <v>0</v>
      </c>
      <c r="CL38" s="47" t="s">
        <v>265</v>
      </c>
      <c r="CP38" s="106">
        <v>0.03</v>
      </c>
      <c r="CQ38" s="53"/>
      <c r="CS38" s="48"/>
      <c r="CV38" s="47" t="s">
        <v>265</v>
      </c>
      <c r="CZ38" s="106">
        <v>0.03</v>
      </c>
      <c r="DA38" s="53"/>
      <c r="DC38" s="48"/>
      <c r="DF38" s="47"/>
      <c r="DG38" s="107"/>
      <c r="DH38" s="149"/>
      <c r="DI38" s="149"/>
      <c r="DJ38" s="66" t="s">
        <v>296</v>
      </c>
      <c r="DK38" s="135" t="s">
        <v>306</v>
      </c>
      <c r="DL38" s="150">
        <f>SUM(DN27*Data!E150)</f>
        <v>0</v>
      </c>
      <c r="DM38" s="109"/>
      <c r="DN38" s="102" t="e">
        <f>SUM(DL38/DN27)*DN32</f>
        <v>#DIV/0!</v>
      </c>
    </row>
    <row r="39" spans="2:118" ht="12.75" customHeight="1" x14ac:dyDescent="0.2">
      <c r="B39" s="881" t="s">
        <v>307</v>
      </c>
      <c r="C39" s="774" t="s">
        <v>189</v>
      </c>
      <c r="D39" s="718">
        <v>7.0000000000000007E-2</v>
      </c>
      <c r="E39" s="752"/>
      <c r="O39" s="66"/>
      <c r="P39" s="151"/>
      <c r="Q39" s="152">
        <f>SUM(Q22+Q36)</f>
        <v>5254.6309616724548</v>
      </c>
      <c r="T39" s="87"/>
      <c r="U39" s="88"/>
      <c r="V39" s="88"/>
      <c r="W39" s="88"/>
      <c r="X39" s="88"/>
      <c r="Y39" s="88"/>
      <c r="Z39" s="88"/>
      <c r="AA39" s="153"/>
      <c r="AB39" s="154"/>
      <c r="AD39" s="47"/>
      <c r="AJ39" s="105" t="s">
        <v>304</v>
      </c>
      <c r="AK39" s="140"/>
      <c r="AL39" s="148" t="s">
        <v>61</v>
      </c>
      <c r="AN39" s="87"/>
      <c r="AO39" s="88"/>
      <c r="AP39" s="88"/>
      <c r="AQ39" s="88"/>
      <c r="AR39" s="88"/>
      <c r="AS39" s="88"/>
      <c r="AT39" s="88"/>
      <c r="AU39" s="153"/>
      <c r="AV39" s="154"/>
      <c r="AX39" s="47"/>
      <c r="BD39" s="105" t="s">
        <v>304</v>
      </c>
      <c r="BE39" s="140"/>
      <c r="BF39" s="148" t="s">
        <v>61</v>
      </c>
      <c r="BH39" s="47" t="s">
        <v>265</v>
      </c>
      <c r="BL39" s="106">
        <f>D113</f>
        <v>0.03</v>
      </c>
      <c r="BM39" s="53"/>
      <c r="BO39" s="48"/>
      <c r="BR39" s="87" t="s">
        <v>241</v>
      </c>
      <c r="BS39" s="88"/>
      <c r="BT39" s="88"/>
      <c r="BU39" s="88"/>
      <c r="BV39" s="88"/>
      <c r="BW39" s="88"/>
      <c r="BX39" s="88"/>
      <c r="BY39" s="89">
        <f>SUM((BY37/1)/BY27)</f>
        <v>0.14237750272736469</v>
      </c>
      <c r="CB39" s="78"/>
      <c r="CC39" s="79"/>
      <c r="CD39" s="79"/>
      <c r="CE39" s="79"/>
      <c r="CF39" s="79"/>
      <c r="CG39" s="79"/>
      <c r="CH39" s="80" t="s">
        <v>236</v>
      </c>
      <c r="CI39" s="81">
        <f>SUM(CI37-CI38)</f>
        <v>45891.116679084189</v>
      </c>
      <c r="CL39" s="64" t="s">
        <v>270</v>
      </c>
      <c r="CM39" s="114"/>
      <c r="CN39" s="3">
        <f>CS36</f>
        <v>15</v>
      </c>
      <c r="CO39" s="1" t="s">
        <v>271</v>
      </c>
      <c r="CS39" s="115">
        <f>SUM(CS37*(1+(CP38/100))^CS36)</f>
        <v>0</v>
      </c>
      <c r="CV39" s="64" t="s">
        <v>270</v>
      </c>
      <c r="CW39" s="114"/>
      <c r="CX39" s="3">
        <f>DC36</f>
        <v>15</v>
      </c>
      <c r="CY39" s="1" t="s">
        <v>271</v>
      </c>
      <c r="DC39" s="115">
        <f>SUM(DC37*(1+(CZ38/100))^DC36)</f>
        <v>0</v>
      </c>
      <c r="DF39" s="116"/>
      <c r="DG39" s="38"/>
      <c r="DH39"/>
      <c r="DI39"/>
      <c r="DJ39" s="117"/>
      <c r="DK39" s="118" t="s">
        <v>308</v>
      </c>
      <c r="DL39" s="119"/>
      <c r="DM39" s="120"/>
      <c r="DN39" s="121" t="e">
        <f>SUM(DN35:DN38)</f>
        <v>#DIV/0!</v>
      </c>
    </row>
    <row r="40" spans="2:118" x14ac:dyDescent="0.2">
      <c r="B40" s="882"/>
      <c r="C40" s="775" t="s">
        <v>309</v>
      </c>
      <c r="D40" s="552">
        <v>20000</v>
      </c>
      <c r="E40" s="749"/>
      <c r="T40" s="91" t="s">
        <v>247</v>
      </c>
      <c r="U40" s="92"/>
      <c r="V40" s="92"/>
      <c r="W40" s="92"/>
      <c r="X40" s="92"/>
      <c r="Y40" s="92"/>
      <c r="Z40" s="92"/>
      <c r="AA40" s="133"/>
      <c r="AD40" s="87"/>
      <c r="AE40" s="88"/>
      <c r="AF40" s="88"/>
      <c r="AG40" s="88"/>
      <c r="AH40" s="88"/>
      <c r="AI40" s="88"/>
      <c r="AJ40" s="88"/>
      <c r="AK40" s="153"/>
      <c r="AL40" s="154"/>
      <c r="AN40" s="91" t="s">
        <v>247</v>
      </c>
      <c r="AO40" s="92"/>
      <c r="AP40" s="92"/>
      <c r="AQ40" s="92"/>
      <c r="AR40" s="92"/>
      <c r="AS40" s="92"/>
      <c r="AT40" s="92"/>
      <c r="AU40" s="133"/>
      <c r="AX40" s="87"/>
      <c r="AY40" s="88"/>
      <c r="AZ40" s="88"/>
      <c r="BA40" s="88"/>
      <c r="BB40" s="88"/>
      <c r="BC40" s="88"/>
      <c r="BD40" s="88"/>
      <c r="BE40" s="153"/>
      <c r="BF40" s="154"/>
      <c r="BH40" s="64" t="s">
        <v>270</v>
      </c>
      <c r="BI40" s="114"/>
      <c r="BJ40" s="3">
        <f>BO37</f>
        <v>20</v>
      </c>
      <c r="BK40" s="1" t="s">
        <v>271</v>
      </c>
      <c r="BO40" s="115">
        <f>SUM(BO38*(1+(BL39))^BO37)</f>
        <v>758566.71856115363</v>
      </c>
      <c r="BY40" s="82">
        <f>IF(BY37=0,BY25/BY43,(BY37))</f>
        <v>34959.778812542063</v>
      </c>
      <c r="CB40" s="83"/>
      <c r="CC40" s="84"/>
      <c r="CD40" s="84"/>
      <c r="CE40" s="84"/>
      <c r="CF40" s="84"/>
      <c r="CG40" s="84"/>
      <c r="CH40" s="85" t="s">
        <v>238</v>
      </c>
      <c r="CI40" s="86">
        <f>SUM(CI29/((1-((1+CI26)^-CI31))/CI26))</f>
        <v>36855.660615947731</v>
      </c>
      <c r="CL40" s="47"/>
      <c r="CS40" s="48"/>
      <c r="CV40" s="47"/>
      <c r="DC40" s="48"/>
      <c r="DF40" s="83"/>
      <c r="DG40" s="84"/>
      <c r="DH40" s="84"/>
      <c r="DI40" s="84"/>
      <c r="DJ40" s="84"/>
      <c r="DL40" s="155"/>
      <c r="DM40" s="156"/>
      <c r="DN40" s="3"/>
    </row>
    <row r="41" spans="2:118" x14ac:dyDescent="0.2">
      <c r="B41" s="882"/>
      <c r="C41" s="775" t="s">
        <v>310</v>
      </c>
      <c r="D41" s="552">
        <v>0</v>
      </c>
      <c r="E41" s="749"/>
      <c r="P41" s="66"/>
      <c r="Q41" s="152"/>
      <c r="T41" s="47"/>
      <c r="AA41" s="48"/>
      <c r="AD41" s="91" t="s">
        <v>247</v>
      </c>
      <c r="AE41" s="92"/>
      <c r="AF41" s="92"/>
      <c r="AG41" s="92"/>
      <c r="AH41" s="92"/>
      <c r="AI41" s="92"/>
      <c r="AJ41" s="92"/>
      <c r="AK41" s="133"/>
      <c r="AN41" s="47"/>
      <c r="AU41" s="48"/>
      <c r="AX41" s="91" t="s">
        <v>247</v>
      </c>
      <c r="AY41" s="92"/>
      <c r="AZ41" s="92"/>
      <c r="BA41" s="92"/>
      <c r="BB41" s="92"/>
      <c r="BC41" s="92"/>
      <c r="BD41" s="92"/>
      <c r="BE41" s="133"/>
      <c r="BH41" s="47"/>
      <c r="BO41" s="48"/>
      <c r="BR41" s="91" t="s">
        <v>247</v>
      </c>
      <c r="BS41" s="92"/>
      <c r="BT41" s="92"/>
      <c r="BU41" s="92"/>
      <c r="BV41" s="92"/>
      <c r="BW41" s="92"/>
      <c r="BX41" s="92"/>
      <c r="BY41" s="133"/>
      <c r="CB41" s="87" t="s">
        <v>241</v>
      </c>
      <c r="CC41" s="88"/>
      <c r="CD41" s="88"/>
      <c r="CE41" s="88"/>
      <c r="CF41" s="88"/>
      <c r="CG41" s="88"/>
      <c r="CH41" s="88"/>
      <c r="CI41" s="89">
        <f>SUM((CI39/1)/CI29)</f>
        <v>0.14237750272736469</v>
      </c>
      <c r="CL41" s="47"/>
      <c r="CO41" s="66" t="s">
        <v>283</v>
      </c>
      <c r="CP41" s="125">
        <f>CS14</f>
        <v>0</v>
      </c>
      <c r="CR41" s="66" t="s">
        <v>284</v>
      </c>
      <c r="CS41" s="69">
        <f>CP41</f>
        <v>0</v>
      </c>
      <c r="CV41" s="47"/>
      <c r="CY41" s="66" t="s">
        <v>283</v>
      </c>
      <c r="CZ41" s="125">
        <f>DC14</f>
        <v>0</v>
      </c>
      <c r="DB41" s="66" t="s">
        <v>284</v>
      </c>
      <c r="DC41" s="69">
        <f>CZ41</f>
        <v>0</v>
      </c>
      <c r="DG41" s="38"/>
      <c r="DK41" s="66"/>
      <c r="DL41" s="151"/>
      <c r="DM41" s="152"/>
      <c r="DN41" s="66" t="s">
        <v>311</v>
      </c>
    </row>
    <row r="42" spans="2:118" x14ac:dyDescent="0.2">
      <c r="B42" s="882"/>
      <c r="C42" s="775" t="s">
        <v>246</v>
      </c>
      <c r="D42" s="767">
        <f>IF(D50=0,0,(D44/E50))</f>
        <v>12.5</v>
      </c>
      <c r="E42" s="749"/>
      <c r="J42"/>
      <c r="K42"/>
      <c r="L42"/>
      <c r="M42"/>
      <c r="P42" s="66"/>
      <c r="T42" s="47" t="s">
        <v>257</v>
      </c>
      <c r="Z42" s="66" t="s">
        <v>219</v>
      </c>
      <c r="AA42" s="141">
        <f>AA13</f>
        <v>12.5</v>
      </c>
      <c r="AD42" s="47"/>
      <c r="AK42" s="48"/>
      <c r="AN42" s="47" t="s">
        <v>257</v>
      </c>
      <c r="AT42" s="66" t="s">
        <v>219</v>
      </c>
      <c r="AU42" s="141">
        <f>AU13</f>
        <v>20</v>
      </c>
      <c r="AX42" s="47"/>
      <c r="BE42" s="48"/>
      <c r="BH42" s="47"/>
      <c r="BK42" s="66" t="s">
        <v>283</v>
      </c>
      <c r="BL42" s="125">
        <f>BO15</f>
        <v>6000</v>
      </c>
      <c r="BN42" s="66" t="s">
        <v>284</v>
      </c>
      <c r="BO42" s="69">
        <f>BL42</f>
        <v>6000</v>
      </c>
      <c r="BR42" s="47"/>
      <c r="BY42" s="48"/>
      <c r="CI42" s="82">
        <f>IF(CI39=0,CI27/CI46,(CI39))</f>
        <v>45891.116679084189</v>
      </c>
      <c r="CL42" s="47"/>
      <c r="CO42" s="66" t="s">
        <v>287</v>
      </c>
      <c r="CP42" s="93">
        <v>0</v>
      </c>
      <c r="CQ42" s="53" t="s">
        <v>288</v>
      </c>
      <c r="CR42" s="66" t="s">
        <v>289</v>
      </c>
      <c r="CS42" s="69">
        <f>SUM(CS39*(CP42/100))</f>
        <v>0</v>
      </c>
      <c r="CV42" s="47"/>
      <c r="CY42" s="66" t="s">
        <v>287</v>
      </c>
      <c r="CZ42" s="93">
        <v>0</v>
      </c>
      <c r="DA42" s="53" t="s">
        <v>288</v>
      </c>
      <c r="DB42" s="66" t="s">
        <v>289</v>
      </c>
      <c r="DC42" s="69">
        <f>SUM(DC39*(CZ42/100))</f>
        <v>0</v>
      </c>
      <c r="DK42" s="1" t="s">
        <v>297</v>
      </c>
      <c r="DN42" s="152" t="e">
        <f>SUM(DN29/DN27)*DM18/DM13</f>
        <v>#DIV/0!</v>
      </c>
    </row>
    <row r="43" spans="2:118" x14ac:dyDescent="0.2">
      <c r="B43" s="882"/>
      <c r="C43" s="775" t="s">
        <v>192</v>
      </c>
      <c r="D43" s="536">
        <v>5</v>
      </c>
      <c r="E43" s="750" t="s">
        <v>193</v>
      </c>
      <c r="J43"/>
      <c r="K43"/>
      <c r="L43"/>
      <c r="M43"/>
      <c r="T43" s="47" t="s">
        <v>261</v>
      </c>
      <c r="AA43" s="103">
        <f>AA12</f>
        <v>20000</v>
      </c>
      <c r="AD43" s="47" t="s">
        <v>257</v>
      </c>
      <c r="AJ43" s="66" t="s">
        <v>219</v>
      </c>
      <c r="AK43" s="157">
        <f>AK13</f>
        <v>12.5</v>
      </c>
      <c r="AN43" s="47" t="s">
        <v>261</v>
      </c>
      <c r="AU43" s="103">
        <f>AU12</f>
        <v>75000</v>
      </c>
      <c r="AX43" s="47" t="s">
        <v>257</v>
      </c>
      <c r="BD43" s="66" t="s">
        <v>219</v>
      </c>
      <c r="BE43" s="141">
        <f>BE13</f>
        <v>20</v>
      </c>
      <c r="BH43" s="47"/>
      <c r="BK43" s="66" t="s">
        <v>287</v>
      </c>
      <c r="BL43" s="132">
        <v>0</v>
      </c>
      <c r="BM43" s="53" t="s">
        <v>288</v>
      </c>
      <c r="BN43" s="66" t="s">
        <v>289</v>
      </c>
      <c r="BO43" s="69">
        <f>SUM(BO40*(BL43/100))</f>
        <v>0</v>
      </c>
      <c r="BR43" s="47" t="s">
        <v>257</v>
      </c>
      <c r="BX43" s="66" t="s">
        <v>219</v>
      </c>
      <c r="BY43" s="141">
        <v>20</v>
      </c>
      <c r="CE43" s="66"/>
      <c r="CF43" s="67"/>
      <c r="CG43" s="67"/>
      <c r="CH43" s="68"/>
      <c r="CI43" s="158"/>
      <c r="CL43" s="47"/>
      <c r="CO43" s="66" t="s">
        <v>292</v>
      </c>
      <c r="CP43" s="93">
        <v>30</v>
      </c>
      <c r="CQ43" s="53" t="s">
        <v>288</v>
      </c>
      <c r="CR43" s="66" t="s">
        <v>293</v>
      </c>
      <c r="CS43" s="69">
        <f>SUM(CS42*(CP43/100))</f>
        <v>0</v>
      </c>
      <c r="CV43" s="47"/>
      <c r="CY43" s="66" t="s">
        <v>292</v>
      </c>
      <c r="CZ43" s="93">
        <v>30</v>
      </c>
      <c r="DA43" s="53" t="s">
        <v>288</v>
      </c>
      <c r="DB43" s="66" t="s">
        <v>293</v>
      </c>
      <c r="DC43" s="69">
        <f>SUM(DC42*(CZ43/100))</f>
        <v>0</v>
      </c>
      <c r="DK43" s="1" t="s">
        <v>299</v>
      </c>
      <c r="DL43" s="66"/>
      <c r="DM43" s="152"/>
      <c r="DN43" s="152" t="e">
        <f>SUM(DN30/DN27)*DM18/DM13</f>
        <v>#DIV/0!</v>
      </c>
    </row>
    <row r="44" spans="2:118" ht="12.75" customHeight="1" x14ac:dyDescent="0.2">
      <c r="B44" s="882"/>
      <c r="C44" s="776" t="s">
        <v>239</v>
      </c>
      <c r="D44" s="631">
        <v>10000</v>
      </c>
      <c r="E44" s="777" t="s">
        <v>240</v>
      </c>
      <c r="J44"/>
      <c r="K44"/>
      <c r="L44"/>
      <c r="M44"/>
      <c r="P44" s="66"/>
      <c r="Q44" s="152"/>
      <c r="T44" s="47" t="s">
        <v>265</v>
      </c>
      <c r="X44" s="106">
        <f>D35</f>
        <v>0.03</v>
      </c>
      <c r="Y44" s="53"/>
      <c r="AA44" s="48"/>
      <c r="AD44" s="47" t="s">
        <v>261</v>
      </c>
      <c r="AK44" s="103">
        <f>AK12</f>
        <v>20000</v>
      </c>
      <c r="AN44" s="47" t="s">
        <v>265</v>
      </c>
      <c r="AR44" s="106">
        <f>D77</f>
        <v>0.03</v>
      </c>
      <c r="AS44" s="53"/>
      <c r="AU44" s="48"/>
      <c r="AX44" s="47" t="s">
        <v>261</v>
      </c>
      <c r="BE44" s="103">
        <f>BE12</f>
        <v>75000</v>
      </c>
      <c r="BH44" s="47"/>
      <c r="BK44" s="66" t="s">
        <v>292</v>
      </c>
      <c r="BL44" s="93">
        <f>$N$35</f>
        <v>30</v>
      </c>
      <c r="BM44" s="53" t="s">
        <v>288</v>
      </c>
      <c r="BN44" s="66" t="s">
        <v>293</v>
      </c>
      <c r="BO44" s="69">
        <f>SUM(BO43*(BL44/100))</f>
        <v>0</v>
      </c>
      <c r="BR44" s="47" t="s">
        <v>261</v>
      </c>
      <c r="BY44" s="103">
        <f>BY27</f>
        <v>245542.85714285716</v>
      </c>
      <c r="CB44" s="91" t="s">
        <v>247</v>
      </c>
      <c r="CC44" s="92"/>
      <c r="CD44" s="92"/>
      <c r="CE44" s="92"/>
      <c r="CF44" s="92"/>
      <c r="CG44" s="92"/>
      <c r="CH44" s="92"/>
      <c r="CI44" s="133"/>
      <c r="CL44" s="137"/>
      <c r="CM44" s="107"/>
      <c r="CN44" s="107"/>
      <c r="CO44" s="107"/>
      <c r="CP44" s="107"/>
      <c r="CQ44" s="107"/>
      <c r="CR44" s="138" t="s">
        <v>312</v>
      </c>
      <c r="CS44" s="139">
        <f>SUM(CS42/CT27)</f>
        <v>0</v>
      </c>
      <c r="CV44" s="137"/>
      <c r="CW44" s="107"/>
      <c r="CX44" s="107"/>
      <c r="CY44" s="107"/>
      <c r="CZ44" s="107"/>
      <c r="DA44" s="107"/>
      <c r="DB44" s="138" t="s">
        <v>312</v>
      </c>
      <c r="DC44" s="139">
        <f>SUM(DC42/DD27)</f>
        <v>0</v>
      </c>
      <c r="DK44" s="1" t="s">
        <v>303</v>
      </c>
      <c r="DL44" s="66"/>
      <c r="DM44" s="82"/>
      <c r="DN44" s="152" t="e">
        <f>SUM(DN31/DN27)*DM18/DM13</f>
        <v>#DIV/0!</v>
      </c>
    </row>
    <row r="45" spans="2:118" x14ac:dyDescent="0.2">
      <c r="B45" s="882"/>
      <c r="C45" s="757" t="s">
        <v>242</v>
      </c>
      <c r="D45" s="567">
        <v>20000</v>
      </c>
      <c r="E45" s="758"/>
      <c r="J45"/>
      <c r="K45"/>
      <c r="L45"/>
      <c r="M45"/>
      <c r="T45" s="64" t="s">
        <v>270</v>
      </c>
      <c r="U45" s="114"/>
      <c r="V45" s="3">
        <f>AA42</f>
        <v>12.5</v>
      </c>
      <c r="W45" s="1" t="s">
        <v>271</v>
      </c>
      <c r="AA45" s="115">
        <f>SUM(AA43*(1+X44)^AA42)</f>
        <v>28939.785276703187</v>
      </c>
      <c r="AD45" s="47" t="s">
        <v>265</v>
      </c>
      <c r="AH45" s="106">
        <f>D56</f>
        <v>0.03</v>
      </c>
      <c r="AI45" s="53" t="s">
        <v>288</v>
      </c>
      <c r="AK45" s="48"/>
      <c r="AN45" s="64" t="s">
        <v>270</v>
      </c>
      <c r="AO45" s="114"/>
      <c r="AP45" s="3">
        <f>AU42</f>
        <v>20</v>
      </c>
      <c r="AQ45" s="1" t="s">
        <v>271</v>
      </c>
      <c r="AU45" s="115">
        <f>SUM(AU43*(1+AR44)^AU42)</f>
        <v>135458.342600206</v>
      </c>
      <c r="AX45" s="47" t="s">
        <v>265</v>
      </c>
      <c r="BB45" s="106">
        <f>D98</f>
        <v>0.03</v>
      </c>
      <c r="BC45" s="53"/>
      <c r="BE45" s="48"/>
      <c r="BH45" s="137"/>
      <c r="BI45" s="107"/>
      <c r="BJ45" s="107"/>
      <c r="BK45" s="107"/>
      <c r="BL45" s="107"/>
      <c r="BM45" s="107"/>
      <c r="BN45" s="138" t="s">
        <v>312</v>
      </c>
      <c r="BO45" s="139">
        <f>SUM(BO43/BP28)</f>
        <v>0</v>
      </c>
      <c r="BR45" s="47" t="s">
        <v>265</v>
      </c>
      <c r="BV45" s="106">
        <v>0.03</v>
      </c>
      <c r="BW45" s="53"/>
      <c r="BY45" s="48"/>
      <c r="CB45" s="47"/>
      <c r="CI45" s="48"/>
      <c r="CL45" s="47"/>
      <c r="CR45" s="66" t="s">
        <v>301</v>
      </c>
      <c r="CS45" s="103">
        <f>SUM(CS39-CS41-CS42+CS43)</f>
        <v>0</v>
      </c>
      <c r="CV45" s="47"/>
      <c r="DB45" s="66" t="s">
        <v>301</v>
      </c>
      <c r="DC45" s="103">
        <f>SUM(DC39-DC41-DC42+DC43)</f>
        <v>0</v>
      </c>
      <c r="DK45" s="1" t="s">
        <v>306</v>
      </c>
      <c r="DN45" s="152" t="e">
        <f>SUM(DN32/DN27)*DM18/DM13</f>
        <v>#DIV/0!</v>
      </c>
    </row>
    <row r="46" spans="2:118" ht="12.75" customHeight="1" x14ac:dyDescent="0.2">
      <c r="B46" s="882"/>
      <c r="C46" s="759" t="s">
        <v>243</v>
      </c>
      <c r="D46" s="552">
        <v>0</v>
      </c>
      <c r="E46" s="760"/>
      <c r="J46"/>
      <c r="K46"/>
      <c r="L46"/>
      <c r="M46"/>
      <c r="T46" s="47"/>
      <c r="AA46" s="48"/>
      <c r="AD46" s="64" t="s">
        <v>270</v>
      </c>
      <c r="AE46" s="114"/>
      <c r="AF46" s="3">
        <f>AK43</f>
        <v>12.5</v>
      </c>
      <c r="AG46" s="1" t="s">
        <v>271</v>
      </c>
      <c r="AK46" s="115">
        <f>SUM(AK44*(1+AH45)^AK43)</f>
        <v>28939.785276703187</v>
      </c>
      <c r="AN46" s="47"/>
      <c r="AU46" s="48"/>
      <c r="AX46" s="64" t="s">
        <v>270</v>
      </c>
      <c r="AY46" s="114"/>
      <c r="AZ46" s="3">
        <f>BE43</f>
        <v>20</v>
      </c>
      <c r="BA46" s="1" t="s">
        <v>271</v>
      </c>
      <c r="BE46" s="115">
        <f>SUM(BE44*(1+BB45)^BE43)</f>
        <v>135458.342600206</v>
      </c>
      <c r="BH46" s="47"/>
      <c r="BN46" s="66" t="s">
        <v>301</v>
      </c>
      <c r="BO46" s="103">
        <f>SUM(BO40-BO42-BO43+BO44)</f>
        <v>752566.71856115363</v>
      </c>
      <c r="BR46" s="64" t="s">
        <v>270</v>
      </c>
      <c r="BS46" s="114"/>
      <c r="BT46" s="3">
        <f>BY43</f>
        <v>20</v>
      </c>
      <c r="BU46" s="1" t="s">
        <v>271</v>
      </c>
      <c r="BY46" s="115">
        <f>SUM(BY44*(1+BV45)^BY43)</f>
        <v>443477.71287854109</v>
      </c>
      <c r="CB46" s="47" t="s">
        <v>257</v>
      </c>
      <c r="CH46" s="66" t="s">
        <v>219</v>
      </c>
      <c r="CI46" s="141">
        <f>D148</f>
        <v>14</v>
      </c>
      <c r="CL46" s="87"/>
      <c r="CM46" s="88"/>
      <c r="CN46" s="88"/>
      <c r="CO46" s="88"/>
      <c r="CP46" s="88"/>
      <c r="CQ46" s="88"/>
      <c r="CR46" s="88"/>
      <c r="CS46" s="147"/>
      <c r="CV46" s="87"/>
      <c r="CW46" s="88"/>
      <c r="CX46" s="88"/>
      <c r="CY46" s="88"/>
      <c r="CZ46" s="88"/>
      <c r="DA46" s="88"/>
      <c r="DB46" s="88"/>
      <c r="DC46" s="147"/>
      <c r="DL46" s="66"/>
      <c r="DM46" s="152"/>
    </row>
    <row r="47" spans="2:118" x14ac:dyDescent="0.2">
      <c r="B47" s="882"/>
      <c r="C47" s="759" t="s">
        <v>246</v>
      </c>
      <c r="D47" s="768">
        <f>IF(D50=0,0,(D48/E50))</f>
        <v>6.25</v>
      </c>
      <c r="E47" s="760"/>
      <c r="J47"/>
      <c r="K47"/>
      <c r="L47"/>
      <c r="M47"/>
      <c r="T47" s="47"/>
      <c r="W47" s="66" t="s">
        <v>283</v>
      </c>
      <c r="X47" s="125">
        <f>AA15</f>
        <v>1000</v>
      </c>
      <c r="Z47" s="66" t="s">
        <v>284</v>
      </c>
      <c r="AA47" s="69">
        <f>X47</f>
        <v>1000</v>
      </c>
      <c r="AD47" s="47"/>
      <c r="AK47" s="48"/>
      <c r="AN47" s="47"/>
      <c r="AQ47" s="66" t="s">
        <v>283</v>
      </c>
      <c r="AR47" s="125">
        <f>AU15</f>
        <v>1000</v>
      </c>
      <c r="AT47" s="66" t="s">
        <v>284</v>
      </c>
      <c r="AU47" s="69">
        <f>AR47</f>
        <v>1000</v>
      </c>
      <c r="AX47" s="47"/>
      <c r="BE47" s="48"/>
      <c r="BH47" s="87"/>
      <c r="BI47" s="88"/>
      <c r="BJ47" s="88"/>
      <c r="BK47" s="88"/>
      <c r="BL47" s="88"/>
      <c r="BM47" s="88"/>
      <c r="BN47" s="88"/>
      <c r="BO47" s="147"/>
      <c r="BR47" s="47"/>
      <c r="BY47" s="48"/>
      <c r="CB47" s="47" t="s">
        <v>261</v>
      </c>
      <c r="CI47" s="103">
        <f>CI22</f>
        <v>327320</v>
      </c>
      <c r="CM47" s="38" t="s">
        <v>187</v>
      </c>
      <c r="CQ47" s="66"/>
      <c r="CR47" s="151"/>
      <c r="CS47" s="152">
        <f>SUM((CS44+CT32))</f>
        <v>0</v>
      </c>
      <c r="CW47" s="38" t="s">
        <v>187</v>
      </c>
      <c r="DA47" s="66"/>
      <c r="DB47" s="151"/>
      <c r="DC47" s="152">
        <f>SUM((DC44+DD32))</f>
        <v>0</v>
      </c>
      <c r="DN47" s="66" t="s">
        <v>313</v>
      </c>
    </row>
    <row r="48" spans="2:118" x14ac:dyDescent="0.2">
      <c r="B48" s="882"/>
      <c r="C48" s="761" t="s">
        <v>249</v>
      </c>
      <c r="D48" s="631">
        <v>5000</v>
      </c>
      <c r="E48" s="762" t="s">
        <v>240</v>
      </c>
      <c r="J48"/>
      <c r="K48"/>
      <c r="L48"/>
      <c r="M48"/>
      <c r="T48" s="47"/>
      <c r="W48" s="66" t="s">
        <v>287</v>
      </c>
      <c r="X48" s="132">
        <v>10</v>
      </c>
      <c r="Y48" s="53" t="s">
        <v>288</v>
      </c>
      <c r="Z48" s="66" t="s">
        <v>289</v>
      </c>
      <c r="AA48" s="69">
        <f>SUM(AA45*(X48/100))</f>
        <v>2893.9785276703187</v>
      </c>
      <c r="AD48" s="47"/>
      <c r="AG48" s="66" t="s">
        <v>283</v>
      </c>
      <c r="AH48" s="125">
        <f>AK15</f>
        <v>1000</v>
      </c>
      <c r="AJ48" s="66" t="s">
        <v>284</v>
      </c>
      <c r="AK48" s="69">
        <f>AH48</f>
        <v>1000</v>
      </c>
      <c r="AN48" s="47"/>
      <c r="AQ48" s="66" t="s">
        <v>287</v>
      </c>
      <c r="AR48" s="132">
        <v>10</v>
      </c>
      <c r="AS48" s="53" t="s">
        <v>288</v>
      </c>
      <c r="AT48" s="66" t="s">
        <v>289</v>
      </c>
      <c r="AU48" s="69">
        <f>SUM(AU45*(AR48/100))</f>
        <v>13545.834260020602</v>
      </c>
      <c r="AX48" s="47"/>
      <c r="BA48" s="66" t="s">
        <v>283</v>
      </c>
      <c r="BB48" s="125">
        <f>BE15</f>
        <v>1000</v>
      </c>
      <c r="BD48" s="66" t="s">
        <v>284</v>
      </c>
      <c r="BE48" s="69">
        <f>BB48</f>
        <v>1000</v>
      </c>
      <c r="BI48" s="38" t="s">
        <v>187</v>
      </c>
      <c r="BM48" s="66"/>
      <c r="BN48" s="151"/>
      <c r="BO48" s="152">
        <f>SUM(BO45+BP33)</f>
        <v>1249.2026566720781</v>
      </c>
      <c r="BR48" s="47"/>
      <c r="BU48" s="66" t="s">
        <v>283</v>
      </c>
      <c r="BV48" s="125">
        <f>D130</f>
        <v>0</v>
      </c>
      <c r="BX48" s="66" t="s">
        <v>284</v>
      </c>
      <c r="BY48" s="69">
        <f>BV48</f>
        <v>0</v>
      </c>
      <c r="CB48" s="47" t="s">
        <v>265</v>
      </c>
      <c r="CF48" s="106">
        <v>0.03</v>
      </c>
      <c r="CG48" s="53"/>
      <c r="CI48" s="48"/>
      <c r="DK48" s="1" t="s">
        <v>297</v>
      </c>
      <c r="DN48" s="152" t="e">
        <f>SUM(DN35+DN42)</f>
        <v>#DIV/0!</v>
      </c>
    </row>
    <row r="49" spans="2:118" x14ac:dyDescent="0.2">
      <c r="B49" s="882"/>
      <c r="C49" s="50" t="s">
        <v>210</v>
      </c>
      <c r="D49" s="620">
        <v>1000</v>
      </c>
      <c r="E49" s="41"/>
      <c r="J49"/>
      <c r="K49"/>
      <c r="L49"/>
      <c r="M49"/>
      <c r="T49" s="47"/>
      <c r="W49" s="66" t="s">
        <v>292</v>
      </c>
      <c r="X49" s="93">
        <f>$N$35</f>
        <v>30</v>
      </c>
      <c r="Y49" s="53" t="s">
        <v>288</v>
      </c>
      <c r="Z49" s="66" t="s">
        <v>293</v>
      </c>
      <c r="AA49" s="69">
        <f>SUM(AA48*(X49/100))</f>
        <v>868.19355830109555</v>
      </c>
      <c r="AD49" s="47"/>
      <c r="AG49" s="66" t="s">
        <v>287</v>
      </c>
      <c r="AH49" s="132">
        <v>10</v>
      </c>
      <c r="AI49" s="53" t="s">
        <v>288</v>
      </c>
      <c r="AJ49" s="66" t="s">
        <v>289</v>
      </c>
      <c r="AK49" s="69">
        <f>SUM(AK46*(AH49/100))</f>
        <v>2893.9785276703187</v>
      </c>
      <c r="AN49" s="47"/>
      <c r="AQ49" s="66" t="s">
        <v>292</v>
      </c>
      <c r="AR49" s="93">
        <f>$N$35</f>
        <v>30</v>
      </c>
      <c r="AS49" s="53" t="s">
        <v>288</v>
      </c>
      <c r="AT49" s="66" t="s">
        <v>293</v>
      </c>
      <c r="AU49" s="69">
        <f>SUM(AU48*(AR49/100))</f>
        <v>4063.7502780061805</v>
      </c>
      <c r="AX49" s="47"/>
      <c r="BA49" s="66" t="s">
        <v>287</v>
      </c>
      <c r="BB49" s="132">
        <v>10</v>
      </c>
      <c r="BC49" s="53" t="s">
        <v>288</v>
      </c>
      <c r="BD49" s="66" t="s">
        <v>289</v>
      </c>
      <c r="BE49" s="69">
        <f>SUM(BE46*(BB49/100))</f>
        <v>13545.834260020602</v>
      </c>
      <c r="BR49" s="47"/>
      <c r="BU49" s="66" t="s">
        <v>287</v>
      </c>
      <c r="BV49" s="132">
        <v>0</v>
      </c>
      <c r="BW49" s="53" t="s">
        <v>288</v>
      </c>
      <c r="BX49" s="66" t="s">
        <v>289</v>
      </c>
      <c r="BY49" s="69">
        <f>SUM(BY46*(BV49/100))</f>
        <v>0</v>
      </c>
      <c r="CB49" s="64" t="s">
        <v>270</v>
      </c>
      <c r="CC49" s="114"/>
      <c r="CD49" s="3">
        <f>CI46</f>
        <v>14</v>
      </c>
      <c r="CE49" s="1" t="s">
        <v>271</v>
      </c>
      <c r="CI49" s="115">
        <f>SUM(CI47*(1+CF48)^CI46)</f>
        <v>495100.86873957491</v>
      </c>
      <c r="CR49" s="66"/>
      <c r="CS49" s="152"/>
      <c r="DB49" s="66"/>
      <c r="DC49" s="152"/>
      <c r="DK49" s="1" t="s">
        <v>299</v>
      </c>
      <c r="DN49" s="152" t="e">
        <f>SUM(DN36+DN43)</f>
        <v>#DIV/0!</v>
      </c>
    </row>
    <row r="50" spans="2:118" x14ac:dyDescent="0.2">
      <c r="B50" s="882"/>
      <c r="C50" s="50" t="s">
        <v>260</v>
      </c>
      <c r="D50" s="769">
        <f>IF(Data!E12=0,0,((Data!E12*(Data!E37+Data!J34)*1000)/(Data!E34)))</f>
        <v>800</v>
      </c>
      <c r="E50" s="41">
        <f>SUM(D50/Data!E13)</f>
        <v>800</v>
      </c>
      <c r="J50"/>
      <c r="K50"/>
      <c r="L50"/>
      <c r="M50"/>
      <c r="T50" s="137"/>
      <c r="U50" s="107"/>
      <c r="V50" s="107"/>
      <c r="W50" s="107"/>
      <c r="X50" s="107"/>
      <c r="Y50" s="107"/>
      <c r="Z50" s="138" t="s">
        <v>314</v>
      </c>
      <c r="AA50" s="139">
        <f>SUM(AA48/AB27)</f>
        <v>72.349463191757962</v>
      </c>
      <c r="AD50" s="47"/>
      <c r="AG50" s="66" t="s">
        <v>292</v>
      </c>
      <c r="AH50" s="93">
        <f>$N$35</f>
        <v>30</v>
      </c>
      <c r="AI50" s="53" t="s">
        <v>288</v>
      </c>
      <c r="AJ50" s="66" t="s">
        <v>293</v>
      </c>
      <c r="AK50" s="69">
        <f>SUM(AK49*(AH50/100))</f>
        <v>868.19355830109555</v>
      </c>
      <c r="AN50" s="137"/>
      <c r="AO50" s="107"/>
      <c r="AP50" s="107"/>
      <c r="AQ50" s="107"/>
      <c r="AR50" s="107"/>
      <c r="AS50" s="107"/>
      <c r="AT50" s="138" t="s">
        <v>312</v>
      </c>
      <c r="AU50" s="139">
        <f>SUM(AU48/AV27)</f>
        <v>338.64585650051504</v>
      </c>
      <c r="AX50" s="47"/>
      <c r="BA50" s="66" t="s">
        <v>292</v>
      </c>
      <c r="BB50" s="93">
        <f>$N$35</f>
        <v>30</v>
      </c>
      <c r="BC50" s="53" t="s">
        <v>288</v>
      </c>
      <c r="BD50" s="66" t="s">
        <v>293</v>
      </c>
      <c r="BE50" s="69">
        <f>SUM(BE49*(BB50/100))</f>
        <v>4063.7502780061805</v>
      </c>
      <c r="BN50" s="66"/>
      <c r="BO50" s="152"/>
      <c r="BR50" s="47"/>
      <c r="BU50" s="66" t="s">
        <v>292</v>
      </c>
      <c r="BV50" s="93">
        <f>$N$35</f>
        <v>30</v>
      </c>
      <c r="BW50" s="53" t="s">
        <v>288</v>
      </c>
      <c r="BX50" s="66" t="s">
        <v>293</v>
      </c>
      <c r="BY50" s="69">
        <f>SUM(BY49*(BV50/100))</f>
        <v>0</v>
      </c>
      <c r="CB50" s="47"/>
      <c r="CI50" s="48"/>
      <c r="CR50" s="66"/>
      <c r="CS50" s="82"/>
      <c r="DB50" s="66"/>
      <c r="DC50" s="82"/>
      <c r="DK50" s="1" t="s">
        <v>303</v>
      </c>
      <c r="DN50" s="152" t="e">
        <f>SUM(DN37+DN44)</f>
        <v>#DIV/0!</v>
      </c>
    </row>
    <row r="51" spans="2:118" ht="12.75" customHeight="1" x14ac:dyDescent="0.2">
      <c r="B51" s="882"/>
      <c r="C51" s="50" t="s">
        <v>315</v>
      </c>
      <c r="D51" s="552">
        <v>500</v>
      </c>
      <c r="E51" s="41"/>
      <c r="J51"/>
      <c r="K51"/>
      <c r="L51"/>
      <c r="M51"/>
      <c r="T51" s="47"/>
      <c r="Z51" s="66" t="s">
        <v>301</v>
      </c>
      <c r="AA51" s="103">
        <f>SUM(AA45-AA47-AA48+AA49)</f>
        <v>25914.000307333965</v>
      </c>
      <c r="AD51" s="137"/>
      <c r="AE51" s="107"/>
      <c r="AF51" s="107"/>
      <c r="AG51" s="107"/>
      <c r="AH51" s="107"/>
      <c r="AI51" s="107"/>
      <c r="AJ51" s="138" t="s">
        <v>316</v>
      </c>
      <c r="AK51" s="139">
        <f>SUM(AK49/AL27)</f>
        <v>72.349463191757962</v>
      </c>
      <c r="AN51" s="47"/>
      <c r="AT51" s="66" t="s">
        <v>301</v>
      </c>
      <c r="AU51" s="103">
        <f>SUM(AU45-AU47-AU48+AU49)</f>
        <v>124976.25861819157</v>
      </c>
      <c r="AX51" s="137"/>
      <c r="AY51" s="107"/>
      <c r="AZ51" s="107"/>
      <c r="BA51" s="107"/>
      <c r="BB51" s="107"/>
      <c r="BC51" s="107"/>
      <c r="BD51" s="138" t="s">
        <v>312</v>
      </c>
      <c r="BE51" s="139">
        <f>SUM(BE49/BF27)</f>
        <v>338.64585650051504</v>
      </c>
      <c r="BN51" s="66"/>
      <c r="BO51" s="82"/>
      <c r="BR51" s="137"/>
      <c r="BS51" s="107"/>
      <c r="BT51" s="107"/>
      <c r="BU51" s="107"/>
      <c r="BV51" s="107"/>
      <c r="BW51" s="107"/>
      <c r="BX51" s="138" t="s">
        <v>312</v>
      </c>
      <c r="BY51" s="139">
        <f>SUM(BY49/BY9)</f>
        <v>0</v>
      </c>
      <c r="CB51" s="47"/>
      <c r="CE51" s="66" t="s">
        <v>283</v>
      </c>
      <c r="CF51" s="125">
        <f>O99</f>
        <v>0</v>
      </c>
      <c r="CH51" s="66" t="s">
        <v>284</v>
      </c>
      <c r="CI51" s="69">
        <f>CF51</f>
        <v>0</v>
      </c>
      <c r="DK51" s="1" t="s">
        <v>306</v>
      </c>
      <c r="DN51" s="152" t="e">
        <f>SUM(DN38+DN45)</f>
        <v>#DIV/0!</v>
      </c>
    </row>
    <row r="52" spans="2:118" ht="12.75" customHeight="1" x14ac:dyDescent="0.2">
      <c r="B52" s="882"/>
      <c r="C52" s="50" t="s">
        <v>269</v>
      </c>
      <c r="D52" s="552">
        <v>2000</v>
      </c>
      <c r="E52" s="41"/>
      <c r="J52"/>
      <c r="K52"/>
      <c r="L52"/>
      <c r="M52"/>
      <c r="T52" s="87"/>
      <c r="U52" s="88"/>
      <c r="V52" s="88"/>
      <c r="W52" s="88"/>
      <c r="X52" s="88"/>
      <c r="Y52" s="88"/>
      <c r="Z52" s="88"/>
      <c r="AA52" s="147"/>
      <c r="AD52" s="47"/>
      <c r="AJ52" s="66" t="s">
        <v>301</v>
      </c>
      <c r="AK52" s="103">
        <f>SUM(AK46-AK48-AK49+AK50)</f>
        <v>25914.000307333965</v>
      </c>
      <c r="AN52" s="87"/>
      <c r="AO52" s="88"/>
      <c r="AP52" s="88"/>
      <c r="AQ52" s="88"/>
      <c r="AR52" s="88"/>
      <c r="AS52" s="88"/>
      <c r="AT52" s="88"/>
      <c r="AU52" s="147"/>
      <c r="AX52" s="47"/>
      <c r="BD52" s="66" t="s">
        <v>301</v>
      </c>
      <c r="BE52" s="103">
        <f>SUM(BE46-BE48-BE49+BE50)</f>
        <v>124976.25861819157</v>
      </c>
      <c r="BR52" s="47"/>
      <c r="BX52" s="66" t="s">
        <v>301</v>
      </c>
      <c r="BY52" s="103">
        <f>SUM(BY46-BY48-BY49+BY50)</f>
        <v>443477.71287854109</v>
      </c>
      <c r="CB52" s="47"/>
      <c r="CE52" s="66" t="s">
        <v>287</v>
      </c>
      <c r="CF52" s="132">
        <v>0</v>
      </c>
      <c r="CG52" s="53" t="s">
        <v>288</v>
      </c>
      <c r="CH52" s="66" t="s">
        <v>289</v>
      </c>
      <c r="CI52" s="69">
        <f>SUM(CI49*(CF52/100))</f>
        <v>0</v>
      </c>
      <c r="CR52" s="66"/>
      <c r="CS52" s="152"/>
      <c r="DB52" s="66"/>
      <c r="DC52" s="152"/>
    </row>
    <row r="53" spans="2:118" x14ac:dyDescent="0.2">
      <c r="B53" s="882"/>
      <c r="C53" s="50" t="s">
        <v>317</v>
      </c>
      <c r="D53" s="780">
        <f>Data!E62</f>
        <v>11</v>
      </c>
      <c r="E53" s="41"/>
      <c r="J53"/>
      <c r="K53"/>
      <c r="L53"/>
      <c r="M53"/>
      <c r="U53" s="38" t="s">
        <v>187</v>
      </c>
      <c r="Y53" s="66"/>
      <c r="Z53" s="151"/>
      <c r="AA53" s="159">
        <f>SUM(AB31+AB37+AA50)</f>
        <v>635.18979693445817</v>
      </c>
      <c r="AD53" s="87"/>
      <c r="AE53" s="88"/>
      <c r="AF53" s="88"/>
      <c r="AG53" s="88"/>
      <c r="AH53" s="88"/>
      <c r="AI53" s="88"/>
      <c r="AJ53" s="88"/>
      <c r="AK53" s="147"/>
      <c r="AO53" s="38" t="s">
        <v>187</v>
      </c>
      <c r="AS53" s="66"/>
      <c r="AT53" s="151"/>
      <c r="AU53" s="159">
        <f>SUM(AV31+AV37+AU50)</f>
        <v>871.47557672804953</v>
      </c>
      <c r="AX53" s="87"/>
      <c r="AY53" s="88"/>
      <c r="AZ53" s="88"/>
      <c r="BA53" s="88"/>
      <c r="BB53" s="88"/>
      <c r="BC53" s="88"/>
      <c r="BD53" s="88"/>
      <c r="BE53" s="147"/>
      <c r="BN53" s="66"/>
      <c r="BO53" s="152"/>
      <c r="BR53" s="87"/>
      <c r="BS53" s="88"/>
      <c r="BT53" s="88"/>
      <c r="BU53" s="88"/>
      <c r="BV53" s="88"/>
      <c r="BW53" s="88"/>
      <c r="BX53" s="88"/>
      <c r="BY53" s="147"/>
      <c r="CB53" s="47"/>
      <c r="CE53" s="66" t="s">
        <v>292</v>
      </c>
      <c r="CF53" s="93">
        <f>$N$35</f>
        <v>30</v>
      </c>
      <c r="CG53" s="53" t="s">
        <v>288</v>
      </c>
      <c r="CH53" s="66" t="s">
        <v>293</v>
      </c>
      <c r="CI53" s="69">
        <f>SUM(CI52*(CF53/100))</f>
        <v>0</v>
      </c>
      <c r="DN53" s="66" t="s">
        <v>61</v>
      </c>
    </row>
    <row r="54" spans="2:118" x14ac:dyDescent="0.2">
      <c r="B54" s="882"/>
      <c r="C54" s="50" t="s">
        <v>318</v>
      </c>
      <c r="D54" s="755">
        <f>Data!E63</f>
        <v>1.3</v>
      </c>
      <c r="E54" s="41"/>
      <c r="J54"/>
      <c r="K54"/>
      <c r="L54"/>
      <c r="M54"/>
      <c r="AE54" s="38" t="s">
        <v>187</v>
      </c>
      <c r="AI54" s="66"/>
      <c r="AJ54" s="151"/>
      <c r="AK54" s="159">
        <f>SUM(AL31+AL38+AK51)</f>
        <v>440.78979693445808</v>
      </c>
      <c r="AY54" s="38" t="s">
        <v>187</v>
      </c>
      <c r="BC54" s="66"/>
      <c r="BD54" s="151"/>
      <c r="BE54" s="159">
        <f>SUM(BF31+BF38+BE51)</f>
        <v>874.92557672804958</v>
      </c>
      <c r="BS54" s="38" t="s">
        <v>187</v>
      </c>
      <c r="BW54" s="66"/>
      <c r="BX54" s="151"/>
      <c r="BY54" s="152">
        <f>SUM(BY51+BY40)/BY9</f>
        <v>436.99723515677579</v>
      </c>
      <c r="CB54" s="137"/>
      <c r="CC54" s="107"/>
      <c r="CD54" s="107"/>
      <c r="CE54" s="107"/>
      <c r="CF54" s="107"/>
      <c r="CG54" s="107"/>
      <c r="CH54" s="138" t="s">
        <v>312</v>
      </c>
      <c r="CI54" s="139">
        <f>SUM(CI52/CI9)</f>
        <v>0</v>
      </c>
      <c r="DK54" s="1" t="s">
        <v>297</v>
      </c>
      <c r="DN54" s="152" t="e">
        <f>IF(Data!E10=0,0,(DN48/Data!E10))</f>
        <v>#DIV/0!</v>
      </c>
    </row>
    <row r="55" spans="2:118" x14ac:dyDescent="0.2">
      <c r="B55" s="882"/>
      <c r="C55" s="130" t="s">
        <v>286</v>
      </c>
      <c r="D55" s="669">
        <v>0.04</v>
      </c>
      <c r="E55" s="131">
        <f>AJ36</f>
        <v>640</v>
      </c>
      <c r="J55"/>
      <c r="K55"/>
      <c r="L55"/>
      <c r="M55"/>
      <c r="U55" s="38"/>
      <c r="Z55" s="66"/>
      <c r="AA55" s="152"/>
      <c r="AO55" s="38"/>
      <c r="AT55" s="66"/>
      <c r="AU55" s="152"/>
      <c r="CB55" s="47"/>
      <c r="CH55" s="66" t="s">
        <v>301</v>
      </c>
      <c r="CI55" s="103">
        <f>SUM(CI49-CI51-CI52+CI53)</f>
        <v>495100.86873957491</v>
      </c>
      <c r="DK55" s="1" t="s">
        <v>299</v>
      </c>
      <c r="DN55" s="152" t="e">
        <f>IF(Data!E12=0,0,(DN49/Data!E12))</f>
        <v>#DIV/0!</v>
      </c>
    </row>
    <row r="56" spans="2:118" x14ac:dyDescent="0.2">
      <c r="B56" s="882"/>
      <c r="C56" s="40" t="s">
        <v>265</v>
      </c>
      <c r="D56" s="669">
        <v>0.03</v>
      </c>
      <c r="E56" s="41"/>
      <c r="J56"/>
      <c r="K56"/>
      <c r="L56"/>
      <c r="M56"/>
      <c r="AE56" s="38"/>
      <c r="AJ56" s="66"/>
      <c r="AK56" s="152"/>
      <c r="AY56" s="38"/>
      <c r="BD56" s="66"/>
      <c r="BE56" s="152"/>
      <c r="CB56" s="87"/>
      <c r="CC56" s="88"/>
      <c r="CD56" s="88"/>
      <c r="CE56" s="88"/>
      <c r="CF56" s="88"/>
      <c r="CG56" s="88"/>
      <c r="CH56" s="88"/>
      <c r="CI56" s="147"/>
      <c r="DK56" s="1" t="s">
        <v>303</v>
      </c>
      <c r="DN56" s="152" t="e">
        <f>IF(Data!E15=0,0,(DN50/Data!E15))</f>
        <v>#DIV/0!</v>
      </c>
    </row>
    <row r="57" spans="2:118" ht="12.75" customHeight="1" x14ac:dyDescent="0.2">
      <c r="B57" s="882"/>
      <c r="C57" s="50"/>
      <c r="D57" s="770" t="s">
        <v>73</v>
      </c>
      <c r="E57" s="41" t="s">
        <v>81</v>
      </c>
      <c r="J57"/>
      <c r="K57"/>
      <c r="L57"/>
      <c r="M57"/>
      <c r="Z57" s="66"/>
      <c r="AA57" s="152"/>
      <c r="AJ57" s="66"/>
      <c r="AK57" s="160"/>
      <c r="CC57" s="38" t="s">
        <v>187</v>
      </c>
      <c r="CG57" s="66"/>
      <c r="CH57" s="151"/>
      <c r="CI57" s="152">
        <f>SUM(CI54+CI42)/CI9</f>
        <v>573.63895848855236</v>
      </c>
      <c r="DK57" s="1" t="s">
        <v>306</v>
      </c>
      <c r="DN57" s="152" t="e">
        <f>IF(Data!E17=0,0,(DN51/Data!E17))</f>
        <v>#DIV/0!</v>
      </c>
    </row>
    <row r="58" spans="2:118" ht="12.75" customHeight="1" x14ac:dyDescent="0.2">
      <c r="B58" s="883"/>
      <c r="C58" s="778" t="s">
        <v>319</v>
      </c>
      <c r="D58" s="781">
        <f>SUM(D50*D53*D54)*Data!E13</f>
        <v>11440</v>
      </c>
      <c r="E58" s="779">
        <f>SUM(D50*D53*Data!E13)</f>
        <v>8800</v>
      </c>
      <c r="J58"/>
      <c r="K58"/>
      <c r="L58"/>
      <c r="M58"/>
      <c r="U58" s="38" t="s">
        <v>187</v>
      </c>
      <c r="V58" s="38"/>
      <c r="W58" s="38"/>
      <c r="X58" s="38"/>
      <c r="Y58" s="38"/>
      <c r="AA58" s="39">
        <f>IF(AB78=0,0,AA105)</f>
        <v>181.64356239155148</v>
      </c>
      <c r="AE58" s="38" t="s">
        <v>187</v>
      </c>
      <c r="AF58" s="38"/>
      <c r="AG58" s="38"/>
      <c r="AH58" s="38"/>
      <c r="AI58" s="38"/>
      <c r="AK58" s="39">
        <f>IF(AL78=0,0,AK105)</f>
        <v>181.64320612797454</v>
      </c>
      <c r="AO58" s="38" t="s">
        <v>187</v>
      </c>
      <c r="AP58" s="38"/>
      <c r="AQ58" s="38"/>
      <c r="AR58" s="38"/>
      <c r="AS58" s="38"/>
      <c r="AU58" s="39">
        <f>IF(AV78=0,0,AU105)</f>
        <v>191.94534722068701</v>
      </c>
      <c r="AY58" s="38" t="s">
        <v>187</v>
      </c>
      <c r="AZ58" s="38"/>
      <c r="BA58" s="38"/>
      <c r="BB58" s="38"/>
      <c r="BC58" s="38"/>
      <c r="BE58" s="39">
        <f>IF(BF78=0,0,BE105)</f>
        <v>719.79505207757632</v>
      </c>
    </row>
    <row r="59" spans="2:118" x14ac:dyDescent="0.2">
      <c r="B59" s="880"/>
      <c r="C59" s="880"/>
      <c r="D59" s="880"/>
      <c r="E59" s="880"/>
      <c r="J59"/>
      <c r="K59"/>
      <c r="L59"/>
      <c r="M59"/>
      <c r="T59" s="42" t="s">
        <v>190</v>
      </c>
      <c r="U59" s="43"/>
      <c r="V59" s="43"/>
      <c r="W59" s="43"/>
      <c r="X59" s="43"/>
      <c r="Y59" s="43"/>
      <c r="Z59" s="43"/>
      <c r="AA59" s="44"/>
      <c r="AB59" s="38"/>
      <c r="AD59" s="42" t="s">
        <v>190</v>
      </c>
      <c r="AE59" s="43"/>
      <c r="AF59" s="43"/>
      <c r="AG59" s="43"/>
      <c r="AH59" s="43"/>
      <c r="AI59" s="43"/>
      <c r="AJ59" s="43"/>
      <c r="AK59" s="44"/>
      <c r="AL59" s="38"/>
      <c r="AN59" s="42" t="s">
        <v>190</v>
      </c>
      <c r="AO59" s="43"/>
      <c r="AP59" s="43"/>
      <c r="AQ59" s="43"/>
      <c r="AR59" s="43"/>
      <c r="AS59" s="43"/>
      <c r="AT59" s="43"/>
      <c r="AU59" s="44"/>
      <c r="AV59" s="38"/>
      <c r="AX59" s="42" t="s">
        <v>190</v>
      </c>
      <c r="AY59" s="43"/>
      <c r="AZ59" s="43"/>
      <c r="BA59" s="43"/>
      <c r="BB59" s="43"/>
      <c r="BC59" s="43"/>
      <c r="BD59" s="43"/>
      <c r="BE59" s="44"/>
      <c r="BF59" s="38"/>
    </row>
    <row r="60" spans="2:118" ht="12.75" customHeight="1" x14ac:dyDescent="0.2">
      <c r="B60" s="877" t="s">
        <v>320</v>
      </c>
      <c r="C60" s="71" t="s">
        <v>189</v>
      </c>
      <c r="D60" s="718">
        <v>7.0000000000000007E-2</v>
      </c>
      <c r="E60" s="72"/>
      <c r="J60"/>
      <c r="K60"/>
      <c r="L60"/>
      <c r="M60"/>
      <c r="T60" s="47"/>
      <c r="AA60" s="48"/>
      <c r="AD60" s="47"/>
      <c r="AK60" s="48"/>
      <c r="AN60" s="47"/>
      <c r="AU60" s="48"/>
      <c r="AX60" s="47"/>
      <c r="BE60" s="48"/>
    </row>
    <row r="61" spans="2:118" ht="12.75" customHeight="1" x14ac:dyDescent="0.2">
      <c r="B61" s="878"/>
      <c r="C61" s="50" t="s">
        <v>231</v>
      </c>
      <c r="D61" s="552">
        <v>75000</v>
      </c>
      <c r="E61" s="41"/>
      <c r="J61"/>
      <c r="K61"/>
      <c r="L61"/>
      <c r="M61"/>
      <c r="T61" s="47" t="s">
        <v>196</v>
      </c>
      <c r="Z61" s="51"/>
      <c r="AA61" s="52">
        <f>D18</f>
        <v>7.0000000000000007E-2</v>
      </c>
      <c r="AB61" s="53"/>
      <c r="AD61" s="47" t="s">
        <v>196</v>
      </c>
      <c r="AJ61" s="51"/>
      <c r="AK61" s="52">
        <f>D39</f>
        <v>7.0000000000000007E-2</v>
      </c>
      <c r="AL61" s="53"/>
      <c r="AN61" s="47" t="s">
        <v>196</v>
      </c>
      <c r="AT61" s="51"/>
      <c r="AU61" s="52">
        <f>D60</f>
        <v>7.0000000000000007E-2</v>
      </c>
      <c r="AV61" s="53"/>
      <c r="AX61" s="47" t="s">
        <v>196</v>
      </c>
      <c r="BD61" s="51"/>
      <c r="BE61" s="52">
        <f>D81</f>
        <v>7.0000000000000007E-2</v>
      </c>
      <c r="BF61" s="53"/>
    </row>
    <row r="62" spans="2:118" x14ac:dyDescent="0.2">
      <c r="B62" s="878"/>
      <c r="C62" s="50" t="s">
        <v>233</v>
      </c>
      <c r="D62" s="552">
        <v>0</v>
      </c>
      <c r="E62" s="41"/>
      <c r="T62" s="47" t="s">
        <v>200</v>
      </c>
      <c r="Z62" s="55"/>
      <c r="AA62" s="57">
        <f>D24*Data!E11</f>
        <v>20000</v>
      </c>
      <c r="AD62" s="47" t="s">
        <v>200</v>
      </c>
      <c r="AJ62" s="55"/>
      <c r="AK62" s="57">
        <f>D45*Data!E13</f>
        <v>20000</v>
      </c>
      <c r="AN62" s="47" t="s">
        <v>200</v>
      </c>
      <c r="AT62" s="55"/>
      <c r="AU62" s="57">
        <f>D66*Data!E16</f>
        <v>20000</v>
      </c>
      <c r="AX62" s="47" t="s">
        <v>200</v>
      </c>
      <c r="BD62" s="55"/>
      <c r="BE62" s="57">
        <f>D82*Data!E18</f>
        <v>75000</v>
      </c>
    </row>
    <row r="63" spans="2:118" x14ac:dyDescent="0.2">
      <c r="B63" s="878"/>
      <c r="C63" s="50" t="s">
        <v>215</v>
      </c>
      <c r="D63" s="767">
        <f>IF(D71=0,0,(D65/E71))</f>
        <v>20</v>
      </c>
      <c r="E63" s="41"/>
      <c r="T63" s="47" t="s">
        <v>205</v>
      </c>
      <c r="AA63" s="59">
        <f>D25</f>
        <v>0</v>
      </c>
      <c r="AD63" s="47" t="s">
        <v>205</v>
      </c>
      <c r="AK63" s="59">
        <f>D46</f>
        <v>0</v>
      </c>
      <c r="AN63" s="47" t="s">
        <v>205</v>
      </c>
      <c r="AU63" s="59">
        <f>D67</f>
        <v>0</v>
      </c>
      <c r="AX63" s="47" t="s">
        <v>205</v>
      </c>
      <c r="BE63" s="59">
        <f>D83</f>
        <v>0</v>
      </c>
    </row>
    <row r="64" spans="2:118" x14ac:dyDescent="0.2">
      <c r="B64" s="878"/>
      <c r="C64" s="50" t="s">
        <v>192</v>
      </c>
      <c r="D64" s="536">
        <v>5</v>
      </c>
      <c r="E64" s="46" t="s">
        <v>193</v>
      </c>
      <c r="T64" s="47"/>
      <c r="AA64" s="59">
        <f>SUM(AA62-AA63)</f>
        <v>20000</v>
      </c>
      <c r="AD64" s="47"/>
      <c r="AK64" s="59">
        <f>SUM(AK62-AK63)</f>
        <v>20000</v>
      </c>
      <c r="AN64" s="47"/>
      <c r="AU64" s="59">
        <f>SUM(AU62-AU63)</f>
        <v>20000</v>
      </c>
      <c r="AX64" s="47"/>
      <c r="BE64" s="59">
        <f>SUM(BE62-BE63)</f>
        <v>75000</v>
      </c>
    </row>
    <row r="65" spans="2:58" ht="12.75" customHeight="1" x14ac:dyDescent="0.2">
      <c r="B65" s="878"/>
      <c r="C65" s="50" t="s">
        <v>239</v>
      </c>
      <c r="D65" s="536">
        <v>20000</v>
      </c>
      <c r="E65" s="46" t="s">
        <v>240</v>
      </c>
      <c r="T65" s="47" t="s">
        <v>211</v>
      </c>
      <c r="AA65" s="61">
        <f>D26</f>
        <v>6.25</v>
      </c>
      <c r="AD65" s="47" t="s">
        <v>211</v>
      </c>
      <c r="AK65" s="161">
        <f>D47</f>
        <v>6.25</v>
      </c>
      <c r="AN65" s="47" t="s">
        <v>211</v>
      </c>
      <c r="AU65" s="161">
        <f>D68</f>
        <v>5</v>
      </c>
      <c r="AX65" s="47" t="s">
        <v>211</v>
      </c>
      <c r="BE65" s="161">
        <f>D89</f>
        <v>5</v>
      </c>
    </row>
    <row r="66" spans="2:58" ht="12.75" customHeight="1" x14ac:dyDescent="0.2">
      <c r="B66" s="878"/>
      <c r="C66" s="757" t="s">
        <v>242</v>
      </c>
      <c r="D66" s="567">
        <v>20000</v>
      </c>
      <c r="E66" s="758"/>
      <c r="T66" s="64" t="s">
        <v>218</v>
      </c>
      <c r="V66" s="3">
        <f>AA65</f>
        <v>6.25</v>
      </c>
      <c r="W66" s="1" t="s">
        <v>219</v>
      </c>
      <c r="AA66" s="59">
        <f>O78</f>
        <v>0</v>
      </c>
      <c r="AD66" s="64" t="s">
        <v>218</v>
      </c>
      <c r="AF66" s="3">
        <f>AK65</f>
        <v>6.25</v>
      </c>
      <c r="AG66" s="1" t="s">
        <v>219</v>
      </c>
      <c r="AK66" s="59">
        <f>D60</f>
        <v>7.0000000000000007E-2</v>
      </c>
      <c r="AN66" s="64" t="s">
        <v>218</v>
      </c>
      <c r="AP66" s="3">
        <f>AU65</f>
        <v>5</v>
      </c>
      <c r="AQ66" s="1" t="s">
        <v>219</v>
      </c>
      <c r="AU66" s="59">
        <f>Y78</f>
        <v>0</v>
      </c>
      <c r="AX66" s="64" t="s">
        <v>218</v>
      </c>
      <c r="AZ66" s="3">
        <f>BE65</f>
        <v>5</v>
      </c>
      <c r="BA66" s="1" t="s">
        <v>219</v>
      </c>
      <c r="BE66" s="59">
        <f>AI78</f>
        <v>0</v>
      </c>
    </row>
    <row r="67" spans="2:58" ht="12.75" customHeight="1" x14ac:dyDescent="0.2">
      <c r="B67" s="878"/>
      <c r="C67" s="759" t="s">
        <v>243</v>
      </c>
      <c r="D67" s="552">
        <v>0</v>
      </c>
      <c r="E67" s="760"/>
      <c r="T67" s="47"/>
      <c r="AA67" s="48"/>
      <c r="AD67" s="47"/>
      <c r="AK67" s="48"/>
      <c r="AN67" s="47"/>
      <c r="AU67" s="48"/>
      <c r="AX67" s="47"/>
      <c r="BE67" s="48"/>
    </row>
    <row r="68" spans="2:58" x14ac:dyDescent="0.2">
      <c r="B68" s="878"/>
      <c r="C68" s="759" t="s">
        <v>246</v>
      </c>
      <c r="D68" s="768">
        <f>IF(D71=0,0,(D69/E71))</f>
        <v>5</v>
      </c>
      <c r="E68" s="760"/>
      <c r="T68" s="47"/>
      <c r="V68" s="66"/>
      <c r="W68" s="66" t="s">
        <v>223</v>
      </c>
      <c r="X68" s="67">
        <f>(AA64)</f>
        <v>20000</v>
      </c>
      <c r="Y68" s="67" t="s">
        <v>224</v>
      </c>
      <c r="Z68" s="68">
        <f>AA61/100</f>
        <v>7.000000000000001E-4</v>
      </c>
      <c r="AA68" s="69">
        <f>SUM(AA64*(1+(AA61))^AA65)</f>
        <v>30526.611961539878</v>
      </c>
      <c r="AD68" s="47"/>
      <c r="AF68" s="66"/>
      <c r="AG68" s="66" t="s">
        <v>223</v>
      </c>
      <c r="AH68" s="67">
        <f>(AK64)</f>
        <v>20000</v>
      </c>
      <c r="AI68" s="67" t="s">
        <v>224</v>
      </c>
      <c r="AJ68" s="68">
        <f>AK61/100</f>
        <v>7.000000000000001E-4</v>
      </c>
      <c r="AK68" s="69">
        <f>SUM(AK64*(1+(AK61))^AK65)</f>
        <v>30526.611961539878</v>
      </c>
      <c r="AN68" s="47"/>
      <c r="AP68" s="66"/>
      <c r="AQ68" s="66" t="s">
        <v>223</v>
      </c>
      <c r="AR68" s="67">
        <f>(AU64)</f>
        <v>20000</v>
      </c>
      <c r="AS68" s="67" t="s">
        <v>224</v>
      </c>
      <c r="AT68" s="68">
        <f>AU61/100</f>
        <v>7.000000000000001E-4</v>
      </c>
      <c r="AU68" s="69">
        <f>SUM(AU64*(1+(AU61))^AU65)</f>
        <v>28051.034614000004</v>
      </c>
      <c r="AX68" s="47"/>
      <c r="AZ68" s="66"/>
      <c r="BA68" s="66" t="s">
        <v>223</v>
      </c>
      <c r="BB68" s="67">
        <f>(BE64)</f>
        <v>75000</v>
      </c>
      <c r="BC68" s="67" t="s">
        <v>224</v>
      </c>
      <c r="BD68" s="68">
        <f>BE61/100</f>
        <v>7.000000000000001E-4</v>
      </c>
      <c r="BE68" s="69">
        <f>SUM(BE64*(1+(BE61))^BE65)</f>
        <v>105191.37980250001</v>
      </c>
    </row>
    <row r="69" spans="2:58" x14ac:dyDescent="0.2">
      <c r="B69" s="878"/>
      <c r="C69" s="761" t="s">
        <v>249</v>
      </c>
      <c r="D69" s="631">
        <v>5000</v>
      </c>
      <c r="E69" s="762" t="s">
        <v>240</v>
      </c>
      <c r="T69" s="47"/>
      <c r="V69" s="66"/>
      <c r="W69" s="66" t="s">
        <v>226</v>
      </c>
      <c r="X69" s="67">
        <f>AA66</f>
        <v>0</v>
      </c>
      <c r="Y69" s="67" t="s">
        <v>224</v>
      </c>
      <c r="Z69" s="70">
        <f>AA61/100</f>
        <v>7.000000000000001E-4</v>
      </c>
      <c r="AA69" s="69">
        <f>SUM(AA66*(1+(AA61/100))^AA65)</f>
        <v>0</v>
      </c>
      <c r="AD69" s="47"/>
      <c r="AF69" s="66"/>
      <c r="AG69" s="66" t="s">
        <v>226</v>
      </c>
      <c r="AH69" s="67">
        <f>AK66</f>
        <v>7.0000000000000007E-2</v>
      </c>
      <c r="AI69" s="67" t="s">
        <v>224</v>
      </c>
      <c r="AJ69" s="70">
        <f>AK61/100</f>
        <v>7.000000000000001E-4</v>
      </c>
      <c r="AK69" s="69">
        <f>SUM(AK66*(1+(AK61/100))^AK65)</f>
        <v>7.0306813292737372E-2</v>
      </c>
      <c r="AN69" s="47"/>
      <c r="AP69" s="66"/>
      <c r="AQ69" s="66" t="s">
        <v>226</v>
      </c>
      <c r="AR69" s="67">
        <f>AU66</f>
        <v>0</v>
      </c>
      <c r="AS69" s="67" t="s">
        <v>224</v>
      </c>
      <c r="AT69" s="70">
        <f>AU61/100</f>
        <v>7.000000000000001E-4</v>
      </c>
      <c r="AU69" s="69">
        <f>SUM(AU66*(1+(AU61/100))^AU65)</f>
        <v>0</v>
      </c>
      <c r="AX69" s="47"/>
      <c r="AZ69" s="66"/>
      <c r="BA69" s="66" t="s">
        <v>226</v>
      </c>
      <c r="BB69" s="67">
        <f>BE66</f>
        <v>0</v>
      </c>
      <c r="BC69" s="67" t="s">
        <v>224</v>
      </c>
      <c r="BD69" s="70">
        <f>BE61/100</f>
        <v>7.000000000000001E-4</v>
      </c>
      <c r="BE69" s="69">
        <f>SUM(BE66*(1+(BE61/100))^BE65)</f>
        <v>0</v>
      </c>
    </row>
    <row r="70" spans="2:58" x14ac:dyDescent="0.2">
      <c r="B70" s="878"/>
      <c r="C70" s="50" t="s">
        <v>210</v>
      </c>
      <c r="D70" s="620">
        <v>1000</v>
      </c>
      <c r="E70" s="41"/>
      <c r="T70" s="73"/>
      <c r="U70" s="74"/>
      <c r="V70" s="74"/>
      <c r="W70" s="74"/>
      <c r="X70" s="74"/>
      <c r="Y70" s="74"/>
      <c r="Z70" s="75" t="s">
        <v>230</v>
      </c>
      <c r="AA70" s="76">
        <f>SUM(AA68-AA69)</f>
        <v>30526.611961539878</v>
      </c>
      <c r="AD70" s="73"/>
      <c r="AE70" s="74"/>
      <c r="AF70" s="74"/>
      <c r="AG70" s="74"/>
      <c r="AH70" s="74"/>
      <c r="AI70" s="74"/>
      <c r="AJ70" s="75" t="s">
        <v>230</v>
      </c>
      <c r="AK70" s="76">
        <f>SUM(AK68-AK69)</f>
        <v>30526.541654726585</v>
      </c>
      <c r="AN70" s="73"/>
      <c r="AO70" s="74"/>
      <c r="AP70" s="74"/>
      <c r="AQ70" s="74"/>
      <c r="AR70" s="74"/>
      <c r="AS70" s="74"/>
      <c r="AT70" s="75" t="s">
        <v>230</v>
      </c>
      <c r="AU70" s="76">
        <f>SUM(AU68-AU69)</f>
        <v>28051.034614000004</v>
      </c>
      <c r="AX70" s="73"/>
      <c r="AY70" s="74"/>
      <c r="AZ70" s="74"/>
      <c r="BA70" s="74"/>
      <c r="BB70" s="74"/>
      <c r="BC70" s="74"/>
      <c r="BD70" s="75" t="s">
        <v>230</v>
      </c>
      <c r="BE70" s="76">
        <f>SUM(BE68-BE69)</f>
        <v>105191.37980250001</v>
      </c>
    </row>
    <row r="71" spans="2:58" x14ac:dyDescent="0.2">
      <c r="B71" s="878"/>
      <c r="C71" s="50" t="s">
        <v>260</v>
      </c>
      <c r="D71" s="770">
        <f>IF(Data!E15=0,0,((Data!E15*(Data!E42+Data!J42)*1000)/(Data!E39)))</f>
        <v>1000</v>
      </c>
      <c r="E71" s="41">
        <f>SUM(D71/Data!E16)</f>
        <v>1000</v>
      </c>
      <c r="T71" s="47"/>
      <c r="Z71" s="66" t="s">
        <v>232</v>
      </c>
      <c r="AA71" s="69">
        <f>IF(AA64=0,0,(AA70/((((1+(AA61))^AA65)-1)/(AA61))))</f>
        <v>4059.9251594246139</v>
      </c>
      <c r="AD71" s="47"/>
      <c r="AJ71" s="66" t="s">
        <v>232</v>
      </c>
      <c r="AK71" s="69">
        <f>IF(AK64=0,0,(AK70/((((1+(AK61))^AK65)-1)/(AK61))))</f>
        <v>4059.9158088815357</v>
      </c>
      <c r="AN71" s="47"/>
      <c r="AT71" s="66" t="s">
        <v>232</v>
      </c>
      <c r="AU71" s="69">
        <f>IF(AU64=0,0,(AU70/((((1+(AU61))^AU65)-1)/(AU61))))</f>
        <v>4877.8138888274807</v>
      </c>
      <c r="AX71" s="47"/>
      <c r="BD71" s="66" t="s">
        <v>232</v>
      </c>
      <c r="BE71" s="69">
        <f>IF(BE64=0,0,(BE70/((((1+(BE61))^BE65)-1)/(BE61))))</f>
        <v>18291.802083103052</v>
      </c>
    </row>
    <row r="72" spans="2:58" ht="12.75" customHeight="1" x14ac:dyDescent="0.2">
      <c r="B72" s="878"/>
      <c r="C72" s="50" t="s">
        <v>264</v>
      </c>
      <c r="D72" s="552">
        <v>500</v>
      </c>
      <c r="E72" s="41"/>
      <c r="T72" s="47"/>
      <c r="Z72" s="66" t="s">
        <v>235</v>
      </c>
      <c r="AA72" s="69">
        <f>IF(AA64=0,0,(AA66*AA61))</f>
        <v>0</v>
      </c>
      <c r="AD72" s="47"/>
      <c r="AJ72" s="66" t="s">
        <v>235</v>
      </c>
      <c r="AK72" s="69">
        <f>IF(AK64=0,0,(AK66*AK61))</f>
        <v>4.9000000000000007E-3</v>
      </c>
      <c r="AN72" s="47"/>
      <c r="AT72" s="66" t="s">
        <v>235</v>
      </c>
      <c r="AU72" s="69">
        <f>IF(AU64=0,0,(AU66*AU61))</f>
        <v>0</v>
      </c>
      <c r="AX72" s="47"/>
      <c r="BD72" s="66" t="s">
        <v>235</v>
      </c>
      <c r="BE72" s="69">
        <f>IF(BE64=0,0,(BE66*BE61))</f>
        <v>0</v>
      </c>
    </row>
    <row r="73" spans="2:58" x14ac:dyDescent="0.2">
      <c r="B73" s="878"/>
      <c r="C73" s="50" t="s">
        <v>269</v>
      </c>
      <c r="D73" s="552">
        <v>5000</v>
      </c>
      <c r="E73" s="41" t="s">
        <v>82</v>
      </c>
      <c r="T73" s="78"/>
      <c r="U73" s="79"/>
      <c r="V73" s="79"/>
      <c r="W73" s="79"/>
      <c r="X73" s="79"/>
      <c r="Y73" s="79"/>
      <c r="Z73" s="80" t="s">
        <v>236</v>
      </c>
      <c r="AA73" s="81">
        <f>SUM(AA71-AA72)</f>
        <v>4059.9251594246139</v>
      </c>
      <c r="AB73" s="38"/>
      <c r="AD73" s="78"/>
      <c r="AE73" s="79"/>
      <c r="AF73" s="79"/>
      <c r="AG73" s="79"/>
      <c r="AH73" s="79"/>
      <c r="AI73" s="79"/>
      <c r="AJ73" s="80" t="s">
        <v>236</v>
      </c>
      <c r="AK73" s="81">
        <f>SUM(AK71-AK72)</f>
        <v>4059.9109088815358</v>
      </c>
      <c r="AL73" s="38"/>
      <c r="AN73" s="78"/>
      <c r="AO73" s="79"/>
      <c r="AP73" s="79"/>
      <c r="AQ73" s="79"/>
      <c r="AR73" s="79"/>
      <c r="AS73" s="79"/>
      <c r="AT73" s="80" t="s">
        <v>236</v>
      </c>
      <c r="AU73" s="81">
        <f>SUM(AU71-AU72)</f>
        <v>4877.8138888274807</v>
      </c>
      <c r="AV73" s="38"/>
      <c r="AX73" s="78"/>
      <c r="AY73" s="79"/>
      <c r="AZ73" s="79"/>
      <c r="BA73" s="79"/>
      <c r="BB73" s="79"/>
      <c r="BC73" s="79"/>
      <c r="BD73" s="80" t="s">
        <v>236</v>
      </c>
      <c r="BE73" s="81">
        <f>SUM(BE71-BE72)</f>
        <v>18291.802083103052</v>
      </c>
      <c r="BF73" s="38"/>
    </row>
    <row r="74" spans="2:58" x14ac:dyDescent="0.2">
      <c r="B74" s="878"/>
      <c r="C74" s="50" t="s">
        <v>276</v>
      </c>
      <c r="D74" s="769">
        <f>Data!E73</f>
        <v>37</v>
      </c>
      <c r="E74" s="122">
        <f>SUM(D74*1.341)</f>
        <v>49.616999999999997</v>
      </c>
      <c r="T74" s="83"/>
      <c r="U74" s="84"/>
      <c r="V74" s="84"/>
      <c r="W74" s="84"/>
      <c r="X74" s="84"/>
      <c r="Y74" s="84"/>
      <c r="Z74" s="85" t="s">
        <v>321</v>
      </c>
      <c r="AA74" s="86">
        <f>SUM(AA64/((1-((1+AA61)^-AA65))/AA61))</f>
        <v>4059.925159424613</v>
      </c>
      <c r="AD74" s="83"/>
      <c r="AE74" s="84"/>
      <c r="AF74" s="84"/>
      <c r="AG74" s="84"/>
      <c r="AH74" s="84"/>
      <c r="AI74" s="84"/>
      <c r="AJ74" s="85" t="s">
        <v>321</v>
      </c>
      <c r="AK74" s="86">
        <f>SUM(AK64/((1-((1+AK61)^-AK65))/AK61))</f>
        <v>4059.925159424613</v>
      </c>
      <c r="AN74" s="83"/>
      <c r="AO74" s="84"/>
      <c r="AP74" s="84"/>
      <c r="AQ74" s="84"/>
      <c r="AR74" s="84"/>
      <c r="AS74" s="84"/>
      <c r="AT74" s="85" t="s">
        <v>321</v>
      </c>
      <c r="AU74" s="86">
        <f>SUM(AU64/((1-((1+AU61)^-AU65))/AU61))</f>
        <v>4877.8138888274807</v>
      </c>
      <c r="AX74" s="83"/>
      <c r="AY74" s="84"/>
      <c r="AZ74" s="84"/>
      <c r="BA74" s="84"/>
      <c r="BB74" s="84"/>
      <c r="BC74" s="84"/>
      <c r="BD74" s="85" t="s">
        <v>321</v>
      </c>
      <c r="BE74" s="86">
        <f>SUM(BE64/((1-((1+BE61)^-BE65))/BE61))</f>
        <v>18291.802083103052</v>
      </c>
    </row>
    <row r="75" spans="2:58" x14ac:dyDescent="0.2">
      <c r="B75" s="878"/>
      <c r="C75" s="50" t="s">
        <v>78</v>
      </c>
      <c r="D75" s="755">
        <f>Data!E74</f>
        <v>0.46600000000000003</v>
      </c>
      <c r="E75" s="41"/>
      <c r="T75" s="87" t="s">
        <v>241</v>
      </c>
      <c r="U75" s="88"/>
      <c r="V75" s="88"/>
      <c r="W75" s="88"/>
      <c r="X75" s="88"/>
      <c r="Y75" s="88"/>
      <c r="Z75" s="88"/>
      <c r="AA75" s="89">
        <f>SUM((AA73/1)/AA64)</f>
        <v>0.20299625797123069</v>
      </c>
      <c r="AD75" s="87" t="s">
        <v>241</v>
      </c>
      <c r="AE75" s="88"/>
      <c r="AF75" s="88"/>
      <c r="AG75" s="88"/>
      <c r="AH75" s="88"/>
      <c r="AI75" s="88"/>
      <c r="AJ75" s="88"/>
      <c r="AK75" s="89">
        <f>SUM((AK73/1)/AK64)</f>
        <v>0.20299554544407677</v>
      </c>
      <c r="AN75" s="87" t="s">
        <v>241</v>
      </c>
      <c r="AO75" s="88"/>
      <c r="AP75" s="88"/>
      <c r="AQ75" s="88"/>
      <c r="AR75" s="88"/>
      <c r="AS75" s="88"/>
      <c r="AT75" s="88"/>
      <c r="AU75" s="89">
        <f>SUM((AU73/1)/AU64)</f>
        <v>0.24389069444137404</v>
      </c>
      <c r="AX75" s="87" t="s">
        <v>241</v>
      </c>
      <c r="AY75" s="88"/>
      <c r="AZ75" s="88"/>
      <c r="BA75" s="88"/>
      <c r="BB75" s="88"/>
      <c r="BC75" s="88"/>
      <c r="BD75" s="88"/>
      <c r="BE75" s="89">
        <f>SUM((BE73/1)/BE64)</f>
        <v>0.24389069444137401</v>
      </c>
    </row>
    <row r="76" spans="2:58" ht="12.75" customHeight="1" x14ac:dyDescent="0.2">
      <c r="B76" s="878"/>
      <c r="C76" s="130" t="s">
        <v>286</v>
      </c>
      <c r="D76" s="669">
        <v>0.02</v>
      </c>
      <c r="E76" s="131">
        <f>AT35</f>
        <v>1500</v>
      </c>
    </row>
    <row r="77" spans="2:58" ht="12.75" customHeight="1" x14ac:dyDescent="0.2">
      <c r="B77" s="878"/>
      <c r="C77" s="40" t="s">
        <v>265</v>
      </c>
      <c r="D77" s="669">
        <v>0.03</v>
      </c>
      <c r="E77" s="41"/>
      <c r="T77" s="42" t="s">
        <v>248</v>
      </c>
      <c r="U77" s="43"/>
      <c r="V77" s="43"/>
      <c r="W77" s="43"/>
      <c r="X77" s="43"/>
      <c r="Y77" s="43"/>
      <c r="Z77" s="43"/>
      <c r="AA77" s="43"/>
      <c r="AB77" s="44"/>
      <c r="AD77" s="42" t="s">
        <v>248</v>
      </c>
      <c r="AE77" s="43"/>
      <c r="AF77" s="43"/>
      <c r="AG77" s="43"/>
      <c r="AH77" s="43"/>
      <c r="AI77" s="43"/>
      <c r="AJ77" s="43"/>
      <c r="AK77" s="43"/>
      <c r="AL77" s="44"/>
      <c r="AN77" s="42" t="s">
        <v>248</v>
      </c>
      <c r="AO77" s="43"/>
      <c r="AP77" s="43"/>
      <c r="AQ77" s="43"/>
      <c r="AR77" s="43"/>
      <c r="AS77" s="43"/>
      <c r="AT77" s="43"/>
      <c r="AU77" s="43"/>
      <c r="AV77" s="44"/>
      <c r="AX77" s="42" t="s">
        <v>248</v>
      </c>
      <c r="AY77" s="43"/>
      <c r="AZ77" s="43"/>
      <c r="BA77" s="43"/>
      <c r="BB77" s="43"/>
      <c r="BC77" s="43"/>
      <c r="BD77" s="43"/>
      <c r="BE77" s="43"/>
      <c r="BF77" s="44"/>
    </row>
    <row r="78" spans="2:58" ht="12.75" customHeight="1" x14ac:dyDescent="0.2">
      <c r="B78" s="878"/>
      <c r="C78" s="50"/>
      <c r="D78" s="770" t="s">
        <v>73</v>
      </c>
      <c r="E78" s="41" t="s">
        <v>74</v>
      </c>
      <c r="T78" s="47"/>
      <c r="W78" s="66" t="s">
        <v>251</v>
      </c>
      <c r="X78" s="93"/>
      <c r="AA78" s="66"/>
      <c r="AB78" s="96">
        <f>Data!E10</f>
        <v>40</v>
      </c>
      <c r="AD78" s="47"/>
      <c r="AG78" s="66" t="s">
        <v>251</v>
      </c>
      <c r="AH78" s="93"/>
      <c r="AK78" s="66"/>
      <c r="AL78" s="96">
        <f>Data!E12</f>
        <v>40</v>
      </c>
      <c r="AN78" s="47"/>
      <c r="AQ78" s="66" t="s">
        <v>251</v>
      </c>
      <c r="AR78" s="93"/>
      <c r="AU78" s="66"/>
      <c r="AV78" s="96">
        <f>Data!E15</f>
        <v>40</v>
      </c>
      <c r="AX78" s="47"/>
      <c r="BA78" s="66" t="s">
        <v>251</v>
      </c>
      <c r="BB78" s="93"/>
      <c r="BE78" s="66"/>
      <c r="BF78" s="96">
        <f>Data!E17</f>
        <v>40</v>
      </c>
    </row>
    <row r="79" spans="2:58" x14ac:dyDescent="0.2">
      <c r="B79" s="879"/>
      <c r="C79" s="771" t="s">
        <v>322</v>
      </c>
      <c r="D79" s="782">
        <f>SUM(D75*D71*D74)*Data!E16</f>
        <v>17242</v>
      </c>
      <c r="E79" s="773">
        <f>SUM(D71*D74*Data!E16)</f>
        <v>37000</v>
      </c>
      <c r="T79" s="47"/>
      <c r="W79" s="66" t="s">
        <v>258</v>
      </c>
      <c r="Z79" s="99">
        <f>IF(AA73=0,AA62/AA65,(AA73))</f>
        <v>4059.9251594246139</v>
      </c>
      <c r="AA79" s="101"/>
      <c r="AB79" s="102">
        <f>SUM(Z79/AB78)</f>
        <v>101.49812898561535</v>
      </c>
      <c r="AD79" s="47"/>
      <c r="AG79" s="66" t="s">
        <v>258</v>
      </c>
      <c r="AJ79" s="99">
        <f>IF(AK73=0,AK62/AK65,(AK73))</f>
        <v>4059.9109088815358</v>
      </c>
      <c r="AK79" s="101"/>
      <c r="AL79" s="102">
        <f>SUM(AJ79/AL78)</f>
        <v>101.49777272203839</v>
      </c>
      <c r="AN79" s="47"/>
      <c r="AQ79" s="66" t="s">
        <v>258</v>
      </c>
      <c r="AT79" s="99">
        <f>IF(AU73=0,AU62/AU65,(AU73))</f>
        <v>4877.8138888274807</v>
      </c>
      <c r="AU79" s="101"/>
      <c r="AV79" s="102">
        <f>SUM(AT79/AV78)</f>
        <v>121.94534722068701</v>
      </c>
      <c r="AX79" s="47"/>
      <c r="BA79" s="66" t="s">
        <v>258</v>
      </c>
      <c r="BD79" s="99">
        <f>IF(BE73=0,BE62/BE65,(BE73))</f>
        <v>18291.802083103052</v>
      </c>
      <c r="BE79" s="101"/>
      <c r="BF79" s="102">
        <f>SUM(BD79/BF78)</f>
        <v>457.29505207757632</v>
      </c>
    </row>
    <row r="80" spans="2:58" x14ac:dyDescent="0.2">
      <c r="B80" s="880"/>
      <c r="C80" s="880"/>
      <c r="D80" s="880"/>
      <c r="E80" s="880"/>
      <c r="T80" s="47"/>
      <c r="W80" s="66" t="s">
        <v>262</v>
      </c>
      <c r="Z80" s="104">
        <f>SUM(O81/AA65)</f>
        <v>0</v>
      </c>
      <c r="AA80" s="101"/>
      <c r="AB80" s="102">
        <f>SUM(Z80/AB78)</f>
        <v>0</v>
      </c>
      <c r="AD80" s="47"/>
      <c r="AG80" s="66" t="s">
        <v>262</v>
      </c>
      <c r="AJ80" s="104">
        <v>0</v>
      </c>
      <c r="AK80" s="101"/>
      <c r="AL80" s="102">
        <f>SUM(AJ80/AL78)</f>
        <v>0</v>
      </c>
      <c r="AN80" s="47"/>
      <c r="AQ80" s="66" t="s">
        <v>262</v>
      </c>
      <c r="AT80" s="104">
        <f>SUM(Y81/AU65)</f>
        <v>0</v>
      </c>
      <c r="AU80" s="101"/>
      <c r="AV80" s="102">
        <f>SUM(AT80/AV78)</f>
        <v>0</v>
      </c>
      <c r="AX80" s="47"/>
      <c r="BA80" s="66" t="s">
        <v>262</v>
      </c>
      <c r="BD80" s="104">
        <f>SUM(AI81/BE65)</f>
        <v>0</v>
      </c>
      <c r="BE80" s="101"/>
      <c r="BF80" s="102">
        <f>SUM(BD80/BF78)</f>
        <v>0</v>
      </c>
    </row>
    <row r="81" spans="2:58" ht="12.75" customHeight="1" x14ac:dyDescent="0.2">
      <c r="B81" s="881" t="s">
        <v>323</v>
      </c>
      <c r="C81" s="71" t="s">
        <v>189</v>
      </c>
      <c r="D81" s="718">
        <v>7.0000000000000007E-2</v>
      </c>
      <c r="E81" s="72"/>
      <c r="J81"/>
      <c r="K81"/>
      <c r="L81"/>
      <c r="M81"/>
      <c r="T81" s="47"/>
      <c r="U81" s="107"/>
      <c r="Z81" s="108"/>
      <c r="AA81" s="109"/>
      <c r="AB81" s="102"/>
      <c r="AD81" s="47"/>
      <c r="AE81" s="107"/>
      <c r="AJ81" s="108"/>
      <c r="AK81" s="109"/>
      <c r="AL81" s="102"/>
      <c r="AN81" s="47"/>
      <c r="AO81" s="107"/>
      <c r="AT81" s="108"/>
      <c r="AU81" s="109"/>
      <c r="AV81" s="102"/>
      <c r="AX81" s="47"/>
      <c r="AY81" s="107"/>
      <c r="BD81" s="108"/>
      <c r="BE81" s="109"/>
      <c r="BF81" s="102"/>
    </row>
    <row r="82" spans="2:58" ht="12.75" customHeight="1" x14ac:dyDescent="0.2">
      <c r="B82" s="882"/>
      <c r="C82" s="50" t="s">
        <v>231</v>
      </c>
      <c r="D82" s="552">
        <v>75000</v>
      </c>
      <c r="E82" s="41"/>
      <c r="J82"/>
      <c r="K82"/>
      <c r="L82"/>
      <c r="M82"/>
      <c r="T82" s="116"/>
      <c r="U82" s="38"/>
      <c r="V82" s="117"/>
      <c r="W82" s="118" t="s">
        <v>273</v>
      </c>
      <c r="X82" s="117"/>
      <c r="Y82" s="117"/>
      <c r="Z82" s="119">
        <f>SUM(Z79:Z80)</f>
        <v>4059.9251594246139</v>
      </c>
      <c r="AA82" s="120">
        <f>SUM(AA79:AA80)</f>
        <v>0</v>
      </c>
      <c r="AB82" s="121">
        <f>SUM(AB79:AB80)</f>
        <v>101.49812898561535</v>
      </c>
      <c r="AD82" s="116"/>
      <c r="AE82" s="38"/>
      <c r="AF82" s="117"/>
      <c r="AG82" s="118" t="s">
        <v>273</v>
      </c>
      <c r="AH82" s="117"/>
      <c r="AI82" s="117"/>
      <c r="AJ82" s="119">
        <f>SUM(AJ79:AJ80)</f>
        <v>4059.9109088815358</v>
      </c>
      <c r="AK82" s="120">
        <f>SUM(AK79:AK80)</f>
        <v>0</v>
      </c>
      <c r="AL82" s="121">
        <f>SUM(AL79:AL80)</f>
        <v>101.49777272203839</v>
      </c>
      <c r="AN82" s="116"/>
      <c r="AO82" s="38"/>
      <c r="AP82" s="117"/>
      <c r="AQ82" s="118" t="s">
        <v>273</v>
      </c>
      <c r="AR82" s="117"/>
      <c r="AS82" s="117"/>
      <c r="AT82" s="119">
        <f>SUM(AT79:AT80)</f>
        <v>4877.8138888274807</v>
      </c>
      <c r="AU82" s="120">
        <f>SUM(AU79:AU80)</f>
        <v>0</v>
      </c>
      <c r="AV82" s="121">
        <f>SUM(AV79:AV80)</f>
        <v>121.94534722068701</v>
      </c>
      <c r="AX82" s="116"/>
      <c r="AY82" s="38"/>
      <c r="AZ82" s="117"/>
      <c r="BA82" s="118" t="s">
        <v>273</v>
      </c>
      <c r="BB82" s="117"/>
      <c r="BC82" s="117"/>
      <c r="BD82" s="119">
        <f>SUM(BD79:BD80)</f>
        <v>18291.802083103052</v>
      </c>
      <c r="BE82" s="120">
        <f>SUM(BE79:BE80)</f>
        <v>0</v>
      </c>
      <c r="BF82" s="121">
        <f>SUM(BF79:BF80)</f>
        <v>457.29505207757632</v>
      </c>
    </row>
    <row r="83" spans="2:58" x14ac:dyDescent="0.2">
      <c r="B83" s="882"/>
      <c r="C83" s="50" t="s">
        <v>233</v>
      </c>
      <c r="D83" s="552">
        <v>0</v>
      </c>
      <c r="E83" s="41"/>
      <c r="J83"/>
      <c r="K83"/>
      <c r="L83"/>
      <c r="M83"/>
      <c r="T83" s="83"/>
      <c r="U83" s="84"/>
      <c r="V83" s="84"/>
      <c r="W83" s="66" t="s">
        <v>279</v>
      </c>
      <c r="X83" s="93"/>
      <c r="AA83" s="66" t="s">
        <v>278</v>
      </c>
      <c r="AB83" s="123">
        <v>0</v>
      </c>
      <c r="AD83" s="83"/>
      <c r="AE83" s="84"/>
      <c r="AF83" s="84"/>
      <c r="AG83" s="66" t="s">
        <v>279</v>
      </c>
      <c r="AH83" s="93"/>
      <c r="AK83" s="66" t="s">
        <v>278</v>
      </c>
      <c r="AL83" s="123">
        <v>0</v>
      </c>
      <c r="AN83" s="83"/>
      <c r="AO83" s="84"/>
      <c r="AP83" s="84"/>
      <c r="AQ83" s="66" t="s">
        <v>279</v>
      </c>
      <c r="AR83" s="93"/>
      <c r="AU83" s="66" t="s">
        <v>278</v>
      </c>
      <c r="AV83" s="123">
        <f>Y79</f>
        <v>0</v>
      </c>
      <c r="AX83" s="83"/>
      <c r="AY83" s="84"/>
      <c r="AZ83" s="84"/>
      <c r="BA83" s="66" t="s">
        <v>279</v>
      </c>
      <c r="BB83" s="93"/>
      <c r="BE83" s="66" t="s">
        <v>278</v>
      </c>
      <c r="BF83" s="123">
        <v>0</v>
      </c>
    </row>
    <row r="84" spans="2:58" x14ac:dyDescent="0.2">
      <c r="B84" s="882"/>
      <c r="C84" s="50" t="s">
        <v>246</v>
      </c>
      <c r="D84" s="767">
        <f>IF(D92=0,0,(D86/E92))</f>
        <v>20</v>
      </c>
      <c r="E84" s="41"/>
      <c r="J84"/>
      <c r="K84"/>
      <c r="L84"/>
      <c r="M84"/>
      <c r="T84" s="47"/>
      <c r="V84" s="66"/>
      <c r="W84" s="66" t="s">
        <v>285</v>
      </c>
      <c r="X84" s="126">
        <f>O82</f>
        <v>0</v>
      </c>
      <c r="Z84" s="105">
        <f>SUM(AB83*X84)*X85</f>
        <v>0</v>
      </c>
      <c r="AA84" s="113"/>
      <c r="AB84" s="102">
        <f>SUM(Z84/AB78)</f>
        <v>0</v>
      </c>
      <c r="AD84" s="47"/>
      <c r="AF84" s="66"/>
      <c r="AG84" s="66" t="s">
        <v>285</v>
      </c>
      <c r="AH84" s="126">
        <v>0</v>
      </c>
      <c r="AJ84" s="105">
        <f>SUM(AL83*AH84)*AH85</f>
        <v>0</v>
      </c>
      <c r="AK84" s="113"/>
      <c r="AL84" s="102">
        <f>SUM(AJ84/AL78)</f>
        <v>0</v>
      </c>
      <c r="AN84" s="47"/>
      <c r="AP84" s="66"/>
      <c r="AQ84" s="66" t="s">
        <v>285</v>
      </c>
      <c r="AR84" s="126">
        <f>Y82</f>
        <v>0</v>
      </c>
      <c r="AT84" s="105">
        <f>SUM(AV83*AR84)*AR85</f>
        <v>0</v>
      </c>
      <c r="AU84" s="113"/>
      <c r="AV84" s="102">
        <f>SUM(AT84/AV78)</f>
        <v>0</v>
      </c>
      <c r="AX84" s="47"/>
      <c r="AZ84" s="66"/>
      <c r="BA84" s="66" t="s">
        <v>285</v>
      </c>
      <c r="BB84" s="126">
        <f>AI82</f>
        <v>0</v>
      </c>
      <c r="BD84" s="105">
        <f>SUM(BF83*BB84)*BB85</f>
        <v>0</v>
      </c>
      <c r="BE84" s="113"/>
      <c r="BF84" s="102">
        <f>SUM(BD84/BF78)</f>
        <v>0</v>
      </c>
    </row>
    <row r="85" spans="2:58" ht="12.75" customHeight="1" x14ac:dyDescent="0.2">
      <c r="B85" s="882"/>
      <c r="C85" s="50" t="s">
        <v>192</v>
      </c>
      <c r="D85" s="536">
        <v>5</v>
      </c>
      <c r="E85" s="46" t="s">
        <v>193</v>
      </c>
      <c r="J85"/>
      <c r="K85"/>
      <c r="L85"/>
      <c r="M85"/>
      <c r="T85" s="47"/>
      <c r="W85" s="66" t="s">
        <v>290</v>
      </c>
      <c r="X85" s="126">
        <f>O83</f>
        <v>0</v>
      </c>
      <c r="Z85" s="105"/>
      <c r="AA85" s="113"/>
      <c r="AB85" s="102"/>
      <c r="AD85" s="47"/>
      <c r="AG85" s="66" t="s">
        <v>290</v>
      </c>
      <c r="AH85" s="126">
        <v>0</v>
      </c>
      <c r="AJ85" s="105"/>
      <c r="AK85" s="113"/>
      <c r="AL85" s="102"/>
      <c r="AN85" s="47"/>
      <c r="AQ85" s="66" t="s">
        <v>290</v>
      </c>
      <c r="AR85" s="126">
        <f>Y83</f>
        <v>0</v>
      </c>
      <c r="AT85" s="105"/>
      <c r="AU85" s="113"/>
      <c r="AV85" s="102"/>
      <c r="AX85" s="47"/>
      <c r="BA85" s="66" t="s">
        <v>290</v>
      </c>
      <c r="BB85" s="126">
        <f>AI83</f>
        <v>0</v>
      </c>
      <c r="BD85" s="105"/>
      <c r="BE85" s="113"/>
      <c r="BF85" s="102"/>
    </row>
    <row r="86" spans="2:58" x14ac:dyDescent="0.2">
      <c r="B86" s="882"/>
      <c r="C86" s="50" t="s">
        <v>239</v>
      </c>
      <c r="D86" s="536">
        <v>20000</v>
      </c>
      <c r="E86" s="46" t="s">
        <v>240</v>
      </c>
      <c r="J86"/>
      <c r="K86"/>
      <c r="L86"/>
      <c r="M86"/>
      <c r="U86" s="66" t="s">
        <v>294</v>
      </c>
      <c r="W86" s="66" t="s">
        <v>295</v>
      </c>
      <c r="X86" s="134"/>
      <c r="Z86" s="105">
        <f>SUM(Z84/10)</f>
        <v>0</v>
      </c>
      <c r="AA86" s="113"/>
      <c r="AB86" s="102">
        <f>SUM(Z86/AB78)</f>
        <v>0</v>
      </c>
      <c r="AE86" s="66" t="s">
        <v>294</v>
      </c>
      <c r="AG86" s="66" t="s">
        <v>295</v>
      </c>
      <c r="AH86" s="134"/>
      <c r="AJ86" s="105">
        <f>SUM(AJ84/10)</f>
        <v>0</v>
      </c>
      <c r="AK86" s="113"/>
      <c r="AL86" s="102">
        <f>SUM(AJ86/AL78)</f>
        <v>0</v>
      </c>
      <c r="AO86" s="66" t="s">
        <v>294</v>
      </c>
      <c r="AQ86" s="66" t="s">
        <v>295</v>
      </c>
      <c r="AR86" s="134"/>
      <c r="AT86" s="105">
        <f>SUM(AT84/10)</f>
        <v>0</v>
      </c>
      <c r="AU86" s="113"/>
      <c r="AV86" s="102">
        <f>SUM(AT86/AV78)</f>
        <v>0</v>
      </c>
      <c r="AY86" s="66" t="s">
        <v>294</v>
      </c>
      <c r="BA86" s="66" t="s">
        <v>295</v>
      </c>
      <c r="BB86" s="134"/>
      <c r="BD86" s="105">
        <f>SUM(BD84/10)</f>
        <v>0</v>
      </c>
      <c r="BE86" s="113"/>
      <c r="BF86" s="102">
        <f>SUM(BD86/BF78)</f>
        <v>0</v>
      </c>
    </row>
    <row r="87" spans="2:58" x14ac:dyDescent="0.2">
      <c r="B87" s="882"/>
      <c r="C87" s="757" t="s">
        <v>242</v>
      </c>
      <c r="D87" s="567">
        <v>20000</v>
      </c>
      <c r="E87" s="758"/>
      <c r="J87"/>
      <c r="K87"/>
      <c r="L87"/>
      <c r="M87"/>
      <c r="T87" s="47"/>
      <c r="W87" s="66" t="s">
        <v>286</v>
      </c>
      <c r="X87" s="111">
        <f>D55</f>
        <v>0.04</v>
      </c>
      <c r="Y87" s="112" t="s">
        <v>288</v>
      </c>
      <c r="Z87" s="105">
        <f>SUM(AA62*X87)</f>
        <v>800</v>
      </c>
      <c r="AA87" s="113"/>
      <c r="AB87" s="102">
        <f>SUM(Z87/AB78)</f>
        <v>20</v>
      </c>
      <c r="AD87" s="47"/>
      <c r="AG87" s="66" t="s">
        <v>286</v>
      </c>
      <c r="AH87" s="111">
        <f>D55</f>
        <v>0.04</v>
      </c>
      <c r="AI87" s="112" t="s">
        <v>288</v>
      </c>
      <c r="AJ87" s="105">
        <f>SUM(AK62*AH87)</f>
        <v>800</v>
      </c>
      <c r="AK87" s="113"/>
      <c r="AL87" s="102">
        <f>SUM(AJ87/AL78)</f>
        <v>20</v>
      </c>
      <c r="AN87" s="47"/>
      <c r="AQ87" s="66" t="s">
        <v>286</v>
      </c>
      <c r="AR87" s="111">
        <f>D97</f>
        <v>0.04</v>
      </c>
      <c r="AS87" s="112" t="s">
        <v>288</v>
      </c>
      <c r="AT87" s="105">
        <f>SUM(AU62*AR87)</f>
        <v>800</v>
      </c>
      <c r="AU87" s="113"/>
      <c r="AV87" s="102">
        <f>SUM(AT87/AV78)</f>
        <v>20</v>
      </c>
      <c r="AX87" s="47"/>
      <c r="BA87" s="66" t="s">
        <v>286</v>
      </c>
      <c r="BB87" s="111">
        <f>D97</f>
        <v>0.04</v>
      </c>
      <c r="BC87" s="112" t="s">
        <v>288</v>
      </c>
      <c r="BD87" s="105">
        <f>SUM(BE62*BB87)</f>
        <v>3000</v>
      </c>
      <c r="BE87" s="113"/>
      <c r="BF87" s="102">
        <f>SUM(BD87/BF78)</f>
        <v>75</v>
      </c>
    </row>
    <row r="88" spans="2:58" x14ac:dyDescent="0.2">
      <c r="B88" s="882"/>
      <c r="C88" s="759" t="s">
        <v>243</v>
      </c>
      <c r="D88" s="552">
        <v>0</v>
      </c>
      <c r="E88" s="760"/>
      <c r="J88"/>
      <c r="K88"/>
      <c r="L88"/>
      <c r="M88"/>
      <c r="T88" s="47"/>
      <c r="Z88" s="105"/>
      <c r="AA88" s="140"/>
      <c r="AB88" s="102"/>
      <c r="AD88" s="47"/>
      <c r="AJ88" s="105"/>
      <c r="AK88" s="140"/>
      <c r="AL88" s="102"/>
      <c r="AN88" s="47"/>
      <c r="AT88" s="105"/>
      <c r="AU88" s="140"/>
      <c r="AV88" s="102"/>
      <c r="AX88" s="47"/>
      <c r="BD88" s="105"/>
      <c r="BE88" s="140"/>
      <c r="BF88" s="102"/>
    </row>
    <row r="89" spans="2:58" ht="12.75" customHeight="1" x14ac:dyDescent="0.2">
      <c r="B89" s="882"/>
      <c r="C89" s="759" t="s">
        <v>246</v>
      </c>
      <c r="D89" s="768">
        <f>IF(D92=0,0,(D90/E92))</f>
        <v>5</v>
      </c>
      <c r="E89" s="760"/>
      <c r="J89"/>
      <c r="K89"/>
      <c r="L89"/>
      <c r="M89"/>
      <c r="T89" s="116"/>
      <c r="U89" s="117"/>
      <c r="V89" s="117"/>
      <c r="W89" s="118" t="s">
        <v>305</v>
      </c>
      <c r="X89" s="117"/>
      <c r="Y89" s="117"/>
      <c r="Z89" s="142">
        <f>SUM(Z84:Z87)</f>
        <v>800</v>
      </c>
      <c r="AA89" s="143">
        <f>SUM(AA84:AA87)</f>
        <v>0</v>
      </c>
      <c r="AB89" s="144">
        <f>SUM(AB84:AB87)</f>
        <v>20</v>
      </c>
      <c r="AD89" s="116"/>
      <c r="AE89" s="117"/>
      <c r="AF89" s="117"/>
      <c r="AG89" s="118" t="s">
        <v>305</v>
      </c>
      <c r="AH89" s="117"/>
      <c r="AI89" s="117"/>
      <c r="AJ89" s="142">
        <f>SUM(AJ84:AJ87)</f>
        <v>800</v>
      </c>
      <c r="AK89" s="143">
        <f>SUM(AK84:AK87)</f>
        <v>0</v>
      </c>
      <c r="AL89" s="144">
        <f>SUM(AL84:AL87)</f>
        <v>20</v>
      </c>
      <c r="AN89" s="116"/>
      <c r="AO89" s="117"/>
      <c r="AP89" s="117"/>
      <c r="AQ89" s="118" t="s">
        <v>305</v>
      </c>
      <c r="AR89" s="117"/>
      <c r="AS89" s="117"/>
      <c r="AT89" s="142">
        <f>SUM(AT84:AT87)</f>
        <v>800</v>
      </c>
      <c r="AU89" s="143">
        <f>SUM(AU84:AU87)</f>
        <v>0</v>
      </c>
      <c r="AV89" s="144">
        <f>SUM(AV84:AV87)</f>
        <v>20</v>
      </c>
      <c r="AX89" s="116"/>
      <c r="AY89" s="117"/>
      <c r="AZ89" s="117"/>
      <c r="BA89" s="118" t="s">
        <v>305</v>
      </c>
      <c r="BB89" s="117"/>
      <c r="BC89" s="117"/>
      <c r="BD89" s="142">
        <f>SUM(BD84:BD87)</f>
        <v>3000</v>
      </c>
      <c r="BE89" s="143">
        <f>SUM(BE84:BE87)</f>
        <v>0</v>
      </c>
      <c r="BF89" s="144">
        <f>SUM(BF84:BF87)</f>
        <v>75</v>
      </c>
    </row>
    <row r="90" spans="2:58" ht="12.75" customHeight="1" x14ac:dyDescent="0.2">
      <c r="B90" s="882"/>
      <c r="C90" s="761" t="s">
        <v>249</v>
      </c>
      <c r="D90" s="631">
        <v>5000</v>
      </c>
      <c r="E90" s="762" t="s">
        <v>240</v>
      </c>
      <c r="J90"/>
      <c r="K90"/>
      <c r="L90"/>
      <c r="M90"/>
      <c r="T90" s="47"/>
      <c r="Z90" s="105" t="s">
        <v>304</v>
      </c>
      <c r="AA90" s="140"/>
      <c r="AB90" s="148" t="s">
        <v>61</v>
      </c>
      <c r="AD90" s="47"/>
      <c r="AJ90" s="105" t="s">
        <v>304</v>
      </c>
      <c r="AK90" s="140"/>
      <c r="AL90" s="148" t="s">
        <v>61</v>
      </c>
      <c r="AN90" s="47"/>
      <c r="AT90" s="105" t="s">
        <v>304</v>
      </c>
      <c r="AU90" s="140"/>
      <c r="AV90" s="148" t="s">
        <v>61</v>
      </c>
      <c r="AX90" s="47"/>
      <c r="BD90" s="105" t="s">
        <v>304</v>
      </c>
      <c r="BE90" s="140"/>
      <c r="BF90" s="148" t="s">
        <v>61</v>
      </c>
    </row>
    <row r="91" spans="2:58" x14ac:dyDescent="0.2">
      <c r="B91" s="882"/>
      <c r="C91" s="50" t="s">
        <v>210</v>
      </c>
      <c r="D91" s="620">
        <v>1000</v>
      </c>
      <c r="E91" s="41"/>
      <c r="J91"/>
      <c r="K91"/>
      <c r="L91"/>
      <c r="M91"/>
      <c r="T91" s="87"/>
      <c r="U91" s="88"/>
      <c r="V91" s="88"/>
      <c r="W91" s="88"/>
      <c r="X91" s="88"/>
      <c r="Y91" s="88"/>
      <c r="Z91" s="88"/>
      <c r="AA91" s="153"/>
      <c r="AB91" s="154"/>
      <c r="AD91" s="87"/>
      <c r="AE91" s="88"/>
      <c r="AF91" s="88"/>
      <c r="AG91" s="88"/>
      <c r="AH91" s="88"/>
      <c r="AI91" s="88"/>
      <c r="AJ91" s="88"/>
      <c r="AK91" s="153"/>
      <c r="AL91" s="154"/>
      <c r="AN91" s="87"/>
      <c r="AO91" s="88"/>
      <c r="AP91" s="88"/>
      <c r="AQ91" s="88"/>
      <c r="AR91" s="88"/>
      <c r="AS91" s="88"/>
      <c r="AT91" s="88"/>
      <c r="AU91" s="153"/>
      <c r="AV91" s="154"/>
      <c r="AX91" s="87"/>
      <c r="AY91" s="88"/>
      <c r="AZ91" s="88"/>
      <c r="BA91" s="88"/>
      <c r="BB91" s="88"/>
      <c r="BC91" s="88"/>
      <c r="BD91" s="88"/>
      <c r="BE91" s="153"/>
      <c r="BF91" s="154"/>
    </row>
    <row r="92" spans="2:58" ht="12.75" customHeight="1" x14ac:dyDescent="0.2">
      <c r="B92" s="882"/>
      <c r="C92" s="50" t="s">
        <v>260</v>
      </c>
      <c r="D92" s="770">
        <f>IF(Data!E17=0,0,((Data!E17*(Data!E42+Data!J41)*1000)/(Data!E39)))</f>
        <v>1000</v>
      </c>
      <c r="E92" s="41">
        <f>SUM(D92/Data!E18)</f>
        <v>1000</v>
      </c>
      <c r="J92"/>
      <c r="K92"/>
      <c r="L92"/>
      <c r="M92"/>
      <c r="T92" s="91" t="s">
        <v>247</v>
      </c>
      <c r="U92" s="92"/>
      <c r="V92" s="92"/>
      <c r="W92" s="92"/>
      <c r="X92" s="92"/>
      <c r="Y92" s="92"/>
      <c r="Z92" s="92"/>
      <c r="AA92" s="133"/>
      <c r="AD92" s="91" t="s">
        <v>247</v>
      </c>
      <c r="AE92" s="92"/>
      <c r="AF92" s="92"/>
      <c r="AG92" s="92"/>
      <c r="AH92" s="92"/>
      <c r="AI92" s="92"/>
      <c r="AJ92" s="92"/>
      <c r="AK92" s="133"/>
      <c r="AN92" s="91" t="s">
        <v>247</v>
      </c>
      <c r="AO92" s="92"/>
      <c r="AP92" s="92"/>
      <c r="AQ92" s="92"/>
      <c r="AR92" s="92"/>
      <c r="AS92" s="92"/>
      <c r="AT92" s="92"/>
      <c r="AU92" s="133"/>
      <c r="AX92" s="91" t="s">
        <v>247</v>
      </c>
      <c r="AY92" s="92"/>
      <c r="AZ92" s="92"/>
      <c r="BA92" s="92"/>
      <c r="BB92" s="92"/>
      <c r="BC92" s="92"/>
      <c r="BD92" s="92"/>
      <c r="BE92" s="133"/>
    </row>
    <row r="93" spans="2:58" x14ac:dyDescent="0.2">
      <c r="B93" s="882"/>
      <c r="C93" s="50" t="s">
        <v>264</v>
      </c>
      <c r="D93" s="552">
        <v>500</v>
      </c>
      <c r="E93" s="41"/>
      <c r="J93"/>
      <c r="K93"/>
      <c r="L93"/>
      <c r="M93"/>
      <c r="T93" s="47"/>
      <c r="AA93" s="48"/>
      <c r="AD93" s="47"/>
      <c r="AK93" s="48"/>
      <c r="AN93" s="47"/>
      <c r="AU93" s="48"/>
      <c r="AX93" s="47"/>
      <c r="BE93" s="48"/>
    </row>
    <row r="94" spans="2:58" x14ac:dyDescent="0.2">
      <c r="B94" s="882"/>
      <c r="C94" s="50" t="s">
        <v>269</v>
      </c>
      <c r="D94" s="552">
        <v>5000</v>
      </c>
      <c r="E94" s="41"/>
      <c r="J94"/>
      <c r="K94"/>
      <c r="L94"/>
      <c r="M94"/>
      <c r="T94" s="47" t="s">
        <v>257</v>
      </c>
      <c r="Z94" s="66" t="s">
        <v>219</v>
      </c>
      <c r="AA94" s="141">
        <f>AA65</f>
        <v>6.25</v>
      </c>
      <c r="AD94" s="47" t="s">
        <v>257</v>
      </c>
      <c r="AJ94" s="66" t="s">
        <v>219</v>
      </c>
      <c r="AK94" s="141">
        <f>AK65</f>
        <v>6.25</v>
      </c>
      <c r="AN94" s="47" t="s">
        <v>257</v>
      </c>
      <c r="AT94" s="66" t="s">
        <v>219</v>
      </c>
      <c r="AU94" s="141">
        <f>AU65</f>
        <v>5</v>
      </c>
      <c r="AX94" s="47" t="s">
        <v>257</v>
      </c>
      <c r="BD94" s="66" t="s">
        <v>219</v>
      </c>
      <c r="BE94" s="141">
        <f>BE65</f>
        <v>5</v>
      </c>
    </row>
    <row r="95" spans="2:58" ht="12.75" customHeight="1" x14ac:dyDescent="0.2">
      <c r="B95" s="882"/>
      <c r="C95" s="50" t="s">
        <v>317</v>
      </c>
      <c r="D95" s="780">
        <f>Data!E76</f>
        <v>11</v>
      </c>
      <c r="E95" s="41"/>
      <c r="J95"/>
      <c r="K95"/>
      <c r="L95"/>
      <c r="M95"/>
      <c r="T95" s="47" t="s">
        <v>261</v>
      </c>
      <c r="AA95" s="103">
        <f>AA64</f>
        <v>20000</v>
      </c>
      <c r="AD95" s="47" t="s">
        <v>261</v>
      </c>
      <c r="AK95" s="103">
        <f>AK64</f>
        <v>20000</v>
      </c>
      <c r="AN95" s="47" t="s">
        <v>261</v>
      </c>
      <c r="AU95" s="103">
        <f>AU64</f>
        <v>20000</v>
      </c>
      <c r="AX95" s="47" t="s">
        <v>261</v>
      </c>
      <c r="BE95" s="103">
        <f>BE64</f>
        <v>75000</v>
      </c>
    </row>
    <row r="96" spans="2:58" x14ac:dyDescent="0.2">
      <c r="B96" s="882"/>
      <c r="C96" s="50" t="s">
        <v>318</v>
      </c>
      <c r="D96" s="755">
        <f>Data!E77</f>
        <v>1.3</v>
      </c>
      <c r="E96" s="41"/>
      <c r="J96"/>
      <c r="K96"/>
      <c r="L96"/>
      <c r="M96"/>
      <c r="T96" s="47" t="s">
        <v>265</v>
      </c>
      <c r="X96" s="106">
        <f>D77</f>
        <v>0.03</v>
      </c>
      <c r="Y96" s="53" t="s">
        <v>288</v>
      </c>
      <c r="AA96" s="48"/>
      <c r="AD96" s="47" t="s">
        <v>265</v>
      </c>
      <c r="AH96" s="106">
        <f>D56</f>
        <v>0.03</v>
      </c>
      <c r="AI96" s="53" t="s">
        <v>288</v>
      </c>
      <c r="AK96" s="48"/>
      <c r="AN96" s="47" t="s">
        <v>265</v>
      </c>
      <c r="AR96" s="106">
        <f>Y85</f>
        <v>0</v>
      </c>
      <c r="AS96" s="53" t="s">
        <v>288</v>
      </c>
      <c r="AU96" s="48"/>
      <c r="AX96" s="47" t="s">
        <v>265</v>
      </c>
      <c r="BB96" s="106">
        <f>AI85</f>
        <v>0</v>
      </c>
      <c r="BC96" s="53" t="s">
        <v>288</v>
      </c>
      <c r="BE96" s="48"/>
    </row>
    <row r="97" spans="2:58" ht="12.75" customHeight="1" x14ac:dyDescent="0.2">
      <c r="B97" s="882"/>
      <c r="C97" s="130" t="s">
        <v>286</v>
      </c>
      <c r="D97" s="669">
        <v>0.04</v>
      </c>
      <c r="E97" s="131">
        <f>BD36</f>
        <v>3000</v>
      </c>
      <c r="J97"/>
      <c r="K97"/>
      <c r="L97"/>
      <c r="M97"/>
      <c r="T97" s="64" t="s">
        <v>270</v>
      </c>
      <c r="U97" s="114"/>
      <c r="V97" s="3">
        <f>AA94</f>
        <v>6.25</v>
      </c>
      <c r="W97" s="1" t="s">
        <v>271</v>
      </c>
      <c r="AA97" s="115">
        <f>SUM(AA95*(1+X96)^AA94)</f>
        <v>24058.173362374455</v>
      </c>
      <c r="AD97" s="64" t="s">
        <v>270</v>
      </c>
      <c r="AE97" s="114"/>
      <c r="AF97" s="3">
        <f>AK94</f>
        <v>6.25</v>
      </c>
      <c r="AG97" s="1" t="s">
        <v>271</v>
      </c>
      <c r="AK97" s="115">
        <f>SUM(AK95*(1+AH96)^AK94)</f>
        <v>24058.173362374455</v>
      </c>
      <c r="AN97" s="64" t="s">
        <v>270</v>
      </c>
      <c r="AO97" s="114"/>
      <c r="AP97" s="3">
        <f>AU94</f>
        <v>5</v>
      </c>
      <c r="AQ97" s="1" t="s">
        <v>271</v>
      </c>
      <c r="AU97" s="115">
        <f>SUM(AU95*(1+AR96)^AU94)</f>
        <v>20000</v>
      </c>
      <c r="AX97" s="64" t="s">
        <v>270</v>
      </c>
      <c r="AY97" s="114"/>
      <c r="AZ97" s="3">
        <f>BE94</f>
        <v>5</v>
      </c>
      <c r="BA97" s="1" t="s">
        <v>271</v>
      </c>
      <c r="BE97" s="115">
        <f>SUM(BE95*(1+BB96)^BE94)</f>
        <v>75000</v>
      </c>
    </row>
    <row r="98" spans="2:58" x14ac:dyDescent="0.2">
      <c r="B98" s="882"/>
      <c r="C98" s="40" t="s">
        <v>265</v>
      </c>
      <c r="D98" s="669">
        <v>0.03</v>
      </c>
      <c r="E98" s="41"/>
      <c r="J98"/>
      <c r="K98"/>
      <c r="L98"/>
      <c r="M98"/>
      <c r="T98" s="47"/>
      <c r="AA98" s="48"/>
      <c r="AD98" s="47"/>
      <c r="AK98" s="48"/>
      <c r="AN98" s="47"/>
      <c r="AU98" s="48"/>
      <c r="AX98" s="47"/>
      <c r="BE98" s="48"/>
    </row>
    <row r="99" spans="2:58" ht="12.75" customHeight="1" x14ac:dyDescent="0.2">
      <c r="B99" s="882"/>
      <c r="C99" s="50"/>
      <c r="D99" s="770" t="s">
        <v>73</v>
      </c>
      <c r="E99" s="41" t="s">
        <v>81</v>
      </c>
      <c r="J99"/>
      <c r="K99"/>
      <c r="L99"/>
      <c r="M99"/>
      <c r="T99" s="47"/>
      <c r="W99" s="66" t="s">
        <v>283</v>
      </c>
      <c r="X99" s="125">
        <f>AA66</f>
        <v>0</v>
      </c>
      <c r="Z99" s="66" t="s">
        <v>284</v>
      </c>
      <c r="AA99" s="69">
        <f>X99</f>
        <v>0</v>
      </c>
      <c r="AD99" s="47"/>
      <c r="AG99" s="66" t="s">
        <v>283</v>
      </c>
      <c r="AH99" s="125">
        <f>AK66</f>
        <v>7.0000000000000007E-2</v>
      </c>
      <c r="AJ99" s="66" t="s">
        <v>284</v>
      </c>
      <c r="AK99" s="69">
        <f>AH99</f>
        <v>7.0000000000000007E-2</v>
      </c>
      <c r="AN99" s="47"/>
      <c r="AQ99" s="66" t="s">
        <v>283</v>
      </c>
      <c r="AR99" s="125">
        <f>AU66</f>
        <v>0</v>
      </c>
      <c r="AT99" s="66" t="s">
        <v>284</v>
      </c>
      <c r="AU99" s="69">
        <f>AR99</f>
        <v>0</v>
      </c>
      <c r="AX99" s="47"/>
      <c r="BA99" s="66" t="s">
        <v>283</v>
      </c>
      <c r="BB99" s="125">
        <f>BE66</f>
        <v>0</v>
      </c>
      <c r="BD99" s="66" t="s">
        <v>284</v>
      </c>
      <c r="BE99" s="69">
        <f>BB99</f>
        <v>0</v>
      </c>
    </row>
    <row r="100" spans="2:58" x14ac:dyDescent="0.2">
      <c r="B100" s="883"/>
      <c r="C100" s="778" t="s">
        <v>324</v>
      </c>
      <c r="D100" s="781">
        <f>SUM(D92*D95*D96)*Data!E18</f>
        <v>14300</v>
      </c>
      <c r="E100" s="779">
        <f>SUM(D92*D95*Data!E18)</f>
        <v>11000</v>
      </c>
      <c r="J100"/>
      <c r="K100"/>
      <c r="L100"/>
      <c r="M100"/>
      <c r="T100" s="47"/>
      <c r="W100" s="66" t="s">
        <v>287</v>
      </c>
      <c r="X100" s="132">
        <v>10</v>
      </c>
      <c r="Y100" s="53" t="s">
        <v>288</v>
      </c>
      <c r="Z100" s="66" t="s">
        <v>289</v>
      </c>
      <c r="AA100" s="69">
        <f>SUM(AA97*(X100/100))</f>
        <v>2405.8173362374455</v>
      </c>
      <c r="AD100" s="47"/>
      <c r="AG100" s="66" t="s">
        <v>287</v>
      </c>
      <c r="AH100" s="132">
        <v>10</v>
      </c>
      <c r="AI100" s="53" t="s">
        <v>288</v>
      </c>
      <c r="AJ100" s="66" t="s">
        <v>289</v>
      </c>
      <c r="AK100" s="69">
        <f>SUM(AK97*(AH100/100))</f>
        <v>2405.8173362374455</v>
      </c>
      <c r="AN100" s="47"/>
      <c r="AQ100" s="66" t="s">
        <v>287</v>
      </c>
      <c r="AR100" s="132">
        <v>10</v>
      </c>
      <c r="AS100" s="53" t="s">
        <v>288</v>
      </c>
      <c r="AT100" s="66" t="s">
        <v>289</v>
      </c>
      <c r="AU100" s="69">
        <f>SUM(AU97*(AR100/100))</f>
        <v>2000</v>
      </c>
      <c r="AX100" s="47"/>
      <c r="BA100" s="66" t="s">
        <v>287</v>
      </c>
      <c r="BB100" s="132">
        <v>10</v>
      </c>
      <c r="BC100" s="53" t="s">
        <v>288</v>
      </c>
      <c r="BD100" s="66" t="s">
        <v>289</v>
      </c>
      <c r="BE100" s="69">
        <f>SUM(BE97*(BB100/100))</f>
        <v>7500</v>
      </c>
    </row>
    <row r="101" spans="2:58" x14ac:dyDescent="0.2">
      <c r="B101" s="884"/>
      <c r="C101" s="884"/>
      <c r="D101" s="884"/>
      <c r="E101" s="884"/>
      <c r="T101" s="47"/>
      <c r="W101" s="66" t="s">
        <v>292</v>
      </c>
      <c r="X101" s="93">
        <f>$N$35</f>
        <v>30</v>
      </c>
      <c r="Y101" s="53" t="s">
        <v>288</v>
      </c>
      <c r="Z101" s="66" t="s">
        <v>293</v>
      </c>
      <c r="AA101" s="69">
        <f>SUM(AA100*(X101/100))</f>
        <v>721.74520087123358</v>
      </c>
      <c r="AD101" s="47"/>
      <c r="AG101" s="66" t="s">
        <v>292</v>
      </c>
      <c r="AH101" s="93">
        <f>$N$35</f>
        <v>30</v>
      </c>
      <c r="AI101" s="53" t="s">
        <v>288</v>
      </c>
      <c r="AJ101" s="66" t="s">
        <v>293</v>
      </c>
      <c r="AK101" s="69">
        <f>SUM(AK100*(AH101/100))</f>
        <v>721.74520087123358</v>
      </c>
      <c r="AN101" s="47"/>
      <c r="AQ101" s="66" t="s">
        <v>292</v>
      </c>
      <c r="AR101" s="93">
        <f>$N$35</f>
        <v>30</v>
      </c>
      <c r="AS101" s="53" t="s">
        <v>288</v>
      </c>
      <c r="AT101" s="66" t="s">
        <v>293</v>
      </c>
      <c r="AU101" s="69">
        <f>SUM(AU100*(AR101/100))</f>
        <v>600</v>
      </c>
      <c r="AX101" s="47"/>
      <c r="BA101" s="66" t="s">
        <v>292</v>
      </c>
      <c r="BB101" s="93">
        <f>$N$35</f>
        <v>30</v>
      </c>
      <c r="BC101" s="53" t="s">
        <v>288</v>
      </c>
      <c r="BD101" s="66" t="s">
        <v>293</v>
      </c>
      <c r="BE101" s="69">
        <f>SUM(BE100*(BB101/100))</f>
        <v>2250</v>
      </c>
    </row>
    <row r="102" spans="2:58" ht="12.75" customHeight="1" x14ac:dyDescent="0.2">
      <c r="B102" s="885" t="s">
        <v>325</v>
      </c>
      <c r="C102" s="774"/>
      <c r="D102" s="788"/>
      <c r="E102" s="783"/>
      <c r="T102" s="137"/>
      <c r="U102" s="107"/>
      <c r="V102" s="107"/>
      <c r="W102" s="107"/>
      <c r="X102" s="107"/>
      <c r="Y102" s="107"/>
      <c r="Z102" s="138" t="s">
        <v>316</v>
      </c>
      <c r="AA102" s="139">
        <f>SUM(AA100/AB78)</f>
        <v>60.145433405936139</v>
      </c>
      <c r="AD102" s="137"/>
      <c r="AE102" s="107"/>
      <c r="AF102" s="107"/>
      <c r="AG102" s="107"/>
      <c r="AH102" s="107"/>
      <c r="AI102" s="107"/>
      <c r="AJ102" s="138" t="s">
        <v>316</v>
      </c>
      <c r="AK102" s="139">
        <f>SUM(AK100/AL78)</f>
        <v>60.145433405936139</v>
      </c>
      <c r="AN102" s="137"/>
      <c r="AO102" s="107"/>
      <c r="AP102" s="107"/>
      <c r="AQ102" s="107"/>
      <c r="AR102" s="107"/>
      <c r="AS102" s="107"/>
      <c r="AT102" s="138" t="s">
        <v>316</v>
      </c>
      <c r="AU102" s="139">
        <f>SUM(AU100/AV78)</f>
        <v>50</v>
      </c>
      <c r="AX102" s="137"/>
      <c r="AY102" s="107"/>
      <c r="AZ102" s="107"/>
      <c r="BA102" s="107"/>
      <c r="BB102" s="107"/>
      <c r="BC102" s="107"/>
      <c r="BD102" s="138" t="s">
        <v>316</v>
      </c>
      <c r="BE102" s="139">
        <f>SUM(BE100/BF78)</f>
        <v>187.5</v>
      </c>
    </row>
    <row r="103" spans="2:58" x14ac:dyDescent="0.2">
      <c r="B103" s="886"/>
      <c r="C103" s="784" t="s">
        <v>189</v>
      </c>
      <c r="D103" s="636">
        <v>7.0000000000000007E-2</v>
      </c>
      <c r="E103" s="749"/>
      <c r="T103" s="47"/>
      <c r="Z103" s="66" t="s">
        <v>301</v>
      </c>
      <c r="AA103" s="103">
        <f>SUM(AA97-AA99-AA100+AA101)</f>
        <v>22374.101227008243</v>
      </c>
      <c r="AD103" s="47"/>
      <c r="AJ103" s="66" t="s">
        <v>301</v>
      </c>
      <c r="AK103" s="103">
        <f>SUM(AK97-AK99-AK100+AK101)</f>
        <v>22374.031227008243</v>
      </c>
      <c r="AN103" s="47"/>
      <c r="AT103" s="66" t="s">
        <v>301</v>
      </c>
      <c r="AU103" s="103">
        <f>SUM(AU97-AU99-AU100+AU101)</f>
        <v>18600</v>
      </c>
      <c r="AX103" s="47"/>
      <c r="BD103" s="66" t="s">
        <v>301</v>
      </c>
      <c r="BE103" s="103">
        <f>SUM(BE97-BE99-BE100+BE101)</f>
        <v>69750</v>
      </c>
    </row>
    <row r="104" spans="2:58" x14ac:dyDescent="0.2">
      <c r="B104" s="886"/>
      <c r="C104" s="784" t="s">
        <v>326</v>
      </c>
      <c r="D104" s="769">
        <f>IF(Data!E31=0,0,(Data!E31))</f>
        <v>12</v>
      </c>
      <c r="E104" s="749"/>
      <c r="T104" s="87"/>
      <c r="U104" s="88"/>
      <c r="V104" s="88"/>
      <c r="W104" s="88"/>
      <c r="X104" s="88"/>
      <c r="Y104" s="88"/>
      <c r="Z104" s="88"/>
      <c r="AA104" s="147"/>
      <c r="AD104" s="87"/>
      <c r="AE104" s="88"/>
      <c r="AF104" s="88"/>
      <c r="AG104" s="88"/>
      <c r="AH104" s="88"/>
      <c r="AI104" s="88"/>
      <c r="AJ104" s="88"/>
      <c r="AK104" s="147"/>
      <c r="AN104" s="87"/>
      <c r="AO104" s="88"/>
      <c r="AP104" s="88"/>
      <c r="AQ104" s="88"/>
      <c r="AR104" s="88"/>
      <c r="AS104" s="88"/>
      <c r="AT104" s="88"/>
      <c r="AU104" s="147"/>
      <c r="AX104" s="87"/>
      <c r="AY104" s="88"/>
      <c r="AZ104" s="88"/>
      <c r="BA104" s="88"/>
      <c r="BB104" s="88"/>
      <c r="BC104" s="88"/>
      <c r="BD104" s="88"/>
      <c r="BE104" s="147"/>
    </row>
    <row r="105" spans="2:58" ht="12.75" customHeight="1" x14ac:dyDescent="0.2">
      <c r="B105" s="886"/>
      <c r="C105" s="784" t="s">
        <v>327</v>
      </c>
      <c r="D105" s="552">
        <v>35000</v>
      </c>
      <c r="E105" s="750" t="s">
        <v>328</v>
      </c>
      <c r="U105" s="38" t="s">
        <v>187</v>
      </c>
      <c r="Y105" s="66"/>
      <c r="Z105" s="151"/>
      <c r="AA105" s="152">
        <f>SUM(AB82+AB89+AA102)</f>
        <v>181.64356239155148</v>
      </c>
      <c r="AE105" s="38" t="s">
        <v>187</v>
      </c>
      <c r="AI105" s="66"/>
      <c r="AJ105" s="151"/>
      <c r="AK105" s="152">
        <f>SUM(AL82+AL89+AK102)</f>
        <v>181.64320612797454</v>
      </c>
      <c r="AO105" s="38" t="s">
        <v>187</v>
      </c>
      <c r="AS105" s="66"/>
      <c r="AT105" s="151"/>
      <c r="AU105" s="152">
        <f>SUM(AV82+AV89+AU102)</f>
        <v>191.94534722068701</v>
      </c>
      <c r="AY105" s="38" t="s">
        <v>187</v>
      </c>
      <c r="BC105" s="66"/>
      <c r="BD105" s="151"/>
      <c r="BE105" s="152">
        <f>SUM(BF82+BF89+BE102)</f>
        <v>719.79505207757632</v>
      </c>
    </row>
    <row r="106" spans="2:58" ht="12.75" customHeight="1" x14ac:dyDescent="0.2">
      <c r="B106" s="886"/>
      <c r="C106" s="775" t="s">
        <v>329</v>
      </c>
      <c r="D106" s="789">
        <f>SUM(D104*D105)</f>
        <v>420000</v>
      </c>
      <c r="E106" s="749"/>
    </row>
    <row r="107" spans="2:58" x14ac:dyDescent="0.2">
      <c r="B107" s="886"/>
      <c r="C107" s="775" t="s">
        <v>233</v>
      </c>
      <c r="D107" s="552">
        <v>0</v>
      </c>
      <c r="E107" s="749"/>
    </row>
    <row r="108" spans="2:58" x14ac:dyDescent="0.2">
      <c r="B108" s="886"/>
      <c r="C108" s="775" t="s">
        <v>215</v>
      </c>
      <c r="D108" s="536">
        <v>20</v>
      </c>
      <c r="E108" s="750" t="s">
        <v>193</v>
      </c>
      <c r="T108" s="1" t="s">
        <v>330</v>
      </c>
      <c r="AA108" s="1">
        <f>SUM(Data!E35*Data!G35)*(Data!E10/Data!E14)</f>
        <v>0</v>
      </c>
      <c r="AD108" s="1" t="s">
        <v>330</v>
      </c>
      <c r="AK108" s="1">
        <f>SUM(Data!E35*Data!G35)*(Data!E12/Data!E14)</f>
        <v>0</v>
      </c>
      <c r="AN108" s="1" t="s">
        <v>330</v>
      </c>
      <c r="AU108" s="1">
        <f>SUM(Data!E40*Data!G40)*(Data!E15/Data!E19)</f>
        <v>0</v>
      </c>
      <c r="AX108" s="1" t="s">
        <v>330</v>
      </c>
      <c r="BE108" s="1">
        <f>SUM(Data!E40*Data!G40)*(Data!E17/Data!E19)</f>
        <v>0</v>
      </c>
    </row>
    <row r="109" spans="2:58" x14ac:dyDescent="0.2">
      <c r="B109" s="886"/>
      <c r="C109" s="775" t="s">
        <v>192</v>
      </c>
      <c r="D109" s="536">
        <v>5</v>
      </c>
      <c r="E109" s="750" t="s">
        <v>193</v>
      </c>
      <c r="T109"/>
      <c r="U109"/>
      <c r="V109"/>
      <c r="W109"/>
      <c r="X109"/>
      <c r="Y109"/>
      <c r="Z109"/>
      <c r="AA109"/>
      <c r="AB109"/>
    </row>
    <row r="110" spans="2:58" ht="12.75" customHeight="1" x14ac:dyDescent="0.2">
      <c r="B110" s="886"/>
      <c r="C110" s="775" t="s">
        <v>331</v>
      </c>
      <c r="D110" s="552">
        <v>500</v>
      </c>
      <c r="E110" s="749"/>
      <c r="T110"/>
      <c r="U110"/>
      <c r="V110"/>
      <c r="W110"/>
      <c r="X110"/>
      <c r="Y110"/>
      <c r="Z110"/>
      <c r="AA110"/>
      <c r="AB110"/>
      <c r="AN110"/>
      <c r="AO110"/>
      <c r="AP110"/>
      <c r="AQ110"/>
      <c r="AR110"/>
      <c r="AS110"/>
      <c r="AT110"/>
      <c r="AU110"/>
      <c r="AV110"/>
    </row>
    <row r="111" spans="2:58" x14ac:dyDescent="0.2">
      <c r="B111" s="886"/>
      <c r="C111" s="775" t="s">
        <v>315</v>
      </c>
      <c r="D111" s="552">
        <v>500</v>
      </c>
      <c r="E111" s="749"/>
      <c r="AD111"/>
      <c r="AE111"/>
      <c r="AF111"/>
      <c r="AG111"/>
      <c r="AH111"/>
      <c r="AI111"/>
      <c r="AJ111"/>
      <c r="AK111"/>
      <c r="AL111"/>
    </row>
    <row r="112" spans="2:58" ht="12.75" customHeight="1" x14ac:dyDescent="0.2">
      <c r="B112" s="886"/>
      <c r="C112" s="785" t="s">
        <v>332</v>
      </c>
      <c r="D112" s="669">
        <v>0.02</v>
      </c>
      <c r="E112" s="786">
        <f>BN31</f>
        <v>1959.5335790934557</v>
      </c>
      <c r="AD112"/>
      <c r="AE112"/>
      <c r="AF112"/>
      <c r="AG112"/>
      <c r="AH112"/>
      <c r="AI112"/>
      <c r="AJ112"/>
      <c r="AK112"/>
      <c r="AL112"/>
      <c r="AX112"/>
      <c r="AY112"/>
      <c r="AZ112"/>
      <c r="BA112"/>
      <c r="BB112"/>
      <c r="BC112"/>
      <c r="BD112"/>
      <c r="BE112"/>
      <c r="BF112"/>
    </row>
    <row r="113" spans="2:58" x14ac:dyDescent="0.2">
      <c r="B113" s="886"/>
      <c r="C113" s="784" t="s">
        <v>265</v>
      </c>
      <c r="D113" s="669">
        <v>0.03</v>
      </c>
      <c r="E113" s="749"/>
      <c r="AD113"/>
      <c r="AE113"/>
      <c r="AF113"/>
      <c r="AG113"/>
      <c r="AH113"/>
      <c r="AI113"/>
      <c r="AJ113"/>
      <c r="AK113"/>
      <c r="AL113"/>
      <c r="AX113"/>
      <c r="AY113"/>
      <c r="AZ113"/>
      <c r="BA113"/>
      <c r="BB113"/>
      <c r="BC113"/>
      <c r="BD113"/>
      <c r="BE113"/>
      <c r="BF113"/>
    </row>
    <row r="114" spans="2:58" x14ac:dyDescent="0.2">
      <c r="B114" s="887"/>
      <c r="C114" s="787" t="s">
        <v>333</v>
      </c>
      <c r="D114" s="790">
        <f>IF(Data!E15=0,0,(Data!E42/Data!E38))</f>
        <v>0.5625</v>
      </c>
      <c r="E114" s="754"/>
      <c r="AD114"/>
      <c r="AE114"/>
      <c r="AF114"/>
      <c r="AG114"/>
      <c r="AH114"/>
      <c r="AI114"/>
      <c r="AJ114"/>
      <c r="AK114"/>
      <c r="AL114"/>
      <c r="AX114"/>
      <c r="AY114"/>
      <c r="AZ114"/>
      <c r="BA114"/>
      <c r="BB114"/>
      <c r="BC114"/>
      <c r="BD114"/>
      <c r="BE114"/>
      <c r="BF114"/>
    </row>
    <row r="115" spans="2:58" x14ac:dyDescent="0.2">
      <c r="B115" s="869"/>
      <c r="C115" s="869"/>
      <c r="D115" s="869"/>
      <c r="E115" s="869"/>
      <c r="AD115"/>
      <c r="AE115"/>
      <c r="AF115"/>
      <c r="AG115"/>
      <c r="AH115"/>
      <c r="AI115"/>
      <c r="AJ115"/>
      <c r="AK115"/>
      <c r="AL115"/>
      <c r="AX115"/>
      <c r="AY115"/>
      <c r="AZ115"/>
      <c r="BA115"/>
      <c r="BB115"/>
      <c r="BC115"/>
      <c r="BD115"/>
      <c r="BE115"/>
      <c r="BF115"/>
    </row>
    <row r="116" spans="2:58" ht="12.75" customHeight="1" x14ac:dyDescent="0.2">
      <c r="B116" s="888" t="s">
        <v>334</v>
      </c>
      <c r="C116" s="794"/>
      <c r="D116" s="791">
        <f>Data!E27</f>
        <v>0</v>
      </c>
      <c r="E116" s="752"/>
      <c r="AD116"/>
      <c r="AE116"/>
      <c r="AF116"/>
      <c r="AG116"/>
      <c r="AH116"/>
      <c r="AI116"/>
      <c r="AJ116"/>
      <c r="AK116"/>
      <c r="AL116"/>
      <c r="AX116"/>
      <c r="AY116"/>
      <c r="AZ116"/>
      <c r="BA116"/>
      <c r="BB116"/>
      <c r="BC116"/>
      <c r="BD116"/>
      <c r="BE116"/>
      <c r="BF116"/>
    </row>
    <row r="117" spans="2:58" x14ac:dyDescent="0.2">
      <c r="B117" s="889"/>
      <c r="C117" s="784" t="s">
        <v>335</v>
      </c>
      <c r="D117" s="636">
        <v>7.0000000000000007E-2</v>
      </c>
      <c r="E117" s="749"/>
      <c r="AD117"/>
      <c r="AE117"/>
      <c r="AF117"/>
      <c r="AG117"/>
      <c r="AH117"/>
      <c r="AI117"/>
      <c r="AJ117"/>
      <c r="AK117"/>
      <c r="AL117"/>
      <c r="AX117"/>
      <c r="AY117"/>
      <c r="AZ117"/>
      <c r="BA117"/>
      <c r="BB117"/>
      <c r="BC117"/>
      <c r="BD117"/>
      <c r="BE117"/>
      <c r="BF117"/>
    </row>
    <row r="118" spans="2:58" x14ac:dyDescent="0.2">
      <c r="B118" s="889"/>
      <c r="C118" s="784" t="s">
        <v>336</v>
      </c>
      <c r="D118" s="792">
        <f>BY20</f>
        <v>245542.85714285716</v>
      </c>
      <c r="E118" s="749"/>
      <c r="AD118"/>
      <c r="AE118"/>
      <c r="AF118"/>
      <c r="AG118"/>
      <c r="AH118"/>
      <c r="AI118"/>
      <c r="AJ118"/>
      <c r="AK118"/>
      <c r="AL118"/>
      <c r="AX118"/>
      <c r="AY118"/>
      <c r="AZ118"/>
      <c r="BA118"/>
      <c r="BB118"/>
      <c r="BC118"/>
      <c r="BD118"/>
      <c r="BE118"/>
      <c r="BF118"/>
    </row>
    <row r="119" spans="2:58" x14ac:dyDescent="0.2">
      <c r="B119" s="889"/>
      <c r="C119" s="784" t="s">
        <v>233</v>
      </c>
      <c r="D119" s="552">
        <v>0</v>
      </c>
      <c r="E119" s="749"/>
      <c r="AD119"/>
      <c r="AE119"/>
      <c r="AF119"/>
      <c r="AG119"/>
      <c r="AH119"/>
      <c r="AI119"/>
      <c r="AJ119"/>
      <c r="AK119"/>
      <c r="AL119"/>
      <c r="AX119"/>
      <c r="AY119"/>
      <c r="AZ119"/>
      <c r="BA119"/>
      <c r="BB119"/>
      <c r="BC119"/>
      <c r="BD119"/>
      <c r="BE119"/>
      <c r="BF119"/>
    </row>
    <row r="120" spans="2:58" x14ac:dyDescent="0.2">
      <c r="B120" s="889"/>
      <c r="C120" s="775" t="s">
        <v>337</v>
      </c>
      <c r="D120" s="536">
        <v>10</v>
      </c>
      <c r="E120" s="750" t="s">
        <v>193</v>
      </c>
      <c r="AD120"/>
      <c r="AE120"/>
      <c r="AF120"/>
      <c r="AG120"/>
      <c r="AH120"/>
      <c r="AI120"/>
      <c r="AJ120"/>
      <c r="AK120"/>
      <c r="AL120"/>
      <c r="AX120"/>
      <c r="AY120"/>
      <c r="AZ120"/>
      <c r="BA120"/>
      <c r="BB120"/>
      <c r="BC120"/>
      <c r="BD120"/>
      <c r="BE120"/>
      <c r="BF120"/>
    </row>
    <row r="121" spans="2:58" ht="12.75" customHeight="1" x14ac:dyDescent="0.2">
      <c r="B121" s="889"/>
      <c r="C121" s="784" t="s">
        <v>338</v>
      </c>
      <c r="D121" s="552">
        <v>1000</v>
      </c>
      <c r="E121" s="750" t="s">
        <v>339</v>
      </c>
      <c r="AD121"/>
      <c r="AE121"/>
      <c r="AF121"/>
      <c r="AG121"/>
      <c r="AH121"/>
      <c r="AI121"/>
      <c r="AJ121"/>
      <c r="AK121"/>
      <c r="AL121"/>
      <c r="AX121"/>
      <c r="AY121"/>
      <c r="AZ121"/>
      <c r="BA121"/>
      <c r="BB121"/>
      <c r="BC121"/>
      <c r="BD121"/>
      <c r="BE121"/>
      <c r="BF121"/>
    </row>
    <row r="122" spans="2:58" x14ac:dyDescent="0.2">
      <c r="B122" s="889"/>
      <c r="C122" s="784" t="s">
        <v>340</v>
      </c>
      <c r="D122" s="769">
        <f>Data!E26</f>
        <v>25</v>
      </c>
      <c r="E122" s="750" t="s">
        <v>341</v>
      </c>
      <c r="AD122"/>
      <c r="AE122"/>
      <c r="AF122"/>
      <c r="AG122"/>
      <c r="AH122"/>
      <c r="AI122"/>
      <c r="AJ122"/>
      <c r="AK122"/>
      <c r="AL122"/>
      <c r="AX122"/>
      <c r="AY122"/>
      <c r="AZ122"/>
      <c r="BA122"/>
      <c r="BB122"/>
      <c r="BC122"/>
      <c r="BD122"/>
      <c r="BE122"/>
      <c r="BF122"/>
    </row>
    <row r="123" spans="2:58" x14ac:dyDescent="0.2">
      <c r="B123" s="889"/>
      <c r="C123" s="784" t="s">
        <v>342</v>
      </c>
      <c r="D123" s="552">
        <v>50</v>
      </c>
      <c r="E123" s="750" t="s">
        <v>343</v>
      </c>
      <c r="AD123"/>
      <c r="AE123"/>
      <c r="AF123"/>
      <c r="AG123"/>
      <c r="AH123"/>
      <c r="AI123"/>
      <c r="AJ123"/>
      <c r="AK123"/>
      <c r="AL123"/>
      <c r="AX123"/>
      <c r="AY123"/>
      <c r="AZ123"/>
      <c r="BA123"/>
      <c r="BB123"/>
      <c r="BC123"/>
      <c r="BD123"/>
      <c r="BE123"/>
      <c r="BF123"/>
    </row>
    <row r="124" spans="2:58" x14ac:dyDescent="0.2">
      <c r="B124" s="889"/>
      <c r="C124" s="784" t="s">
        <v>344</v>
      </c>
      <c r="D124" s="552">
        <v>500</v>
      </c>
      <c r="E124" s="750" t="s">
        <v>343</v>
      </c>
      <c r="AD124"/>
      <c r="AE124"/>
      <c r="AF124"/>
      <c r="AG124"/>
      <c r="AH124"/>
      <c r="AI124"/>
      <c r="AJ124"/>
      <c r="AK124"/>
      <c r="AL124"/>
      <c r="AX124"/>
      <c r="AY124"/>
      <c r="AZ124"/>
      <c r="BA124"/>
      <c r="BB124"/>
      <c r="BC124"/>
      <c r="BD124"/>
      <c r="BE124"/>
      <c r="BF124"/>
    </row>
    <row r="125" spans="2:58" x14ac:dyDescent="0.2">
      <c r="B125" s="889"/>
      <c r="C125" s="784" t="s">
        <v>345</v>
      </c>
      <c r="D125" s="793">
        <f>Data!E23</f>
        <v>2</v>
      </c>
      <c r="E125" s="750" t="s">
        <v>27</v>
      </c>
      <c r="AD125"/>
      <c r="AE125"/>
      <c r="AF125"/>
      <c r="AG125"/>
      <c r="AH125"/>
      <c r="AI125"/>
      <c r="AJ125"/>
      <c r="AK125"/>
      <c r="AL125"/>
      <c r="AX125"/>
      <c r="AY125"/>
      <c r="AZ125"/>
      <c r="BA125"/>
      <c r="BB125"/>
      <c r="BC125"/>
      <c r="BD125"/>
      <c r="BE125"/>
      <c r="BF125"/>
    </row>
    <row r="126" spans="2:58" x14ac:dyDescent="0.2">
      <c r="B126" s="889"/>
      <c r="C126" s="775" t="s">
        <v>222</v>
      </c>
      <c r="D126" s="769">
        <f>Data!E25</f>
        <v>1</v>
      </c>
      <c r="E126" s="749"/>
      <c r="AD126"/>
      <c r="AE126"/>
      <c r="AF126"/>
      <c r="AG126"/>
      <c r="AH126"/>
      <c r="AI126"/>
      <c r="AJ126"/>
      <c r="AK126"/>
      <c r="AL126"/>
      <c r="AX126"/>
      <c r="AY126"/>
      <c r="AZ126"/>
      <c r="BA126"/>
      <c r="BB126"/>
      <c r="BC126"/>
      <c r="BD126"/>
      <c r="BE126"/>
      <c r="BF126"/>
    </row>
    <row r="127" spans="2:58" ht="12.75" customHeight="1" x14ac:dyDescent="0.2">
      <c r="B127" s="889"/>
      <c r="C127" s="775" t="s">
        <v>225</v>
      </c>
      <c r="D127" s="552">
        <v>1500</v>
      </c>
      <c r="E127" s="749"/>
      <c r="AD127"/>
      <c r="AE127"/>
      <c r="AF127"/>
      <c r="AG127"/>
      <c r="AH127"/>
      <c r="AI127"/>
      <c r="AJ127"/>
      <c r="AK127"/>
      <c r="AL127"/>
      <c r="AX127"/>
      <c r="AY127"/>
      <c r="AZ127"/>
      <c r="BA127"/>
      <c r="BB127"/>
      <c r="BC127"/>
      <c r="BD127"/>
      <c r="BE127"/>
      <c r="BF127"/>
    </row>
    <row r="128" spans="2:58" ht="12.75" customHeight="1" x14ac:dyDescent="0.2">
      <c r="B128" s="889"/>
      <c r="C128" s="775" t="s">
        <v>346</v>
      </c>
      <c r="D128" s="552">
        <v>0</v>
      </c>
      <c r="E128" s="749"/>
      <c r="AD128"/>
      <c r="AE128"/>
      <c r="AF128"/>
      <c r="AG128"/>
      <c r="AH128"/>
      <c r="AI128"/>
      <c r="AJ128"/>
      <c r="AK128"/>
      <c r="AL128"/>
      <c r="AX128"/>
      <c r="AY128"/>
      <c r="AZ128"/>
      <c r="BA128"/>
      <c r="BB128"/>
      <c r="BC128"/>
      <c r="BD128"/>
      <c r="BE128"/>
      <c r="BF128"/>
    </row>
    <row r="129" spans="2:119" ht="12.75" customHeight="1" x14ac:dyDescent="0.2">
      <c r="B129" s="889"/>
      <c r="C129" s="775" t="s">
        <v>228</v>
      </c>
      <c r="D129" s="769">
        <f>Data!E24</f>
        <v>80</v>
      </c>
      <c r="E129" s="749"/>
      <c r="AD129"/>
      <c r="AE129"/>
      <c r="AF129"/>
      <c r="AG129"/>
      <c r="AH129"/>
      <c r="AI129"/>
      <c r="AJ129"/>
      <c r="AK129"/>
      <c r="AL129"/>
      <c r="AX129"/>
      <c r="AY129"/>
      <c r="AZ129"/>
      <c r="BA129"/>
      <c r="BB129"/>
      <c r="BC129"/>
      <c r="BD129"/>
      <c r="BE129"/>
      <c r="BF129"/>
    </row>
    <row r="130" spans="2:119" x14ac:dyDescent="0.2">
      <c r="B130" s="889"/>
      <c r="C130" s="775" t="s">
        <v>210</v>
      </c>
      <c r="D130" s="552">
        <v>0</v>
      </c>
      <c r="E130" s="749"/>
      <c r="AD130"/>
      <c r="AE130"/>
      <c r="AF130"/>
      <c r="AG130"/>
      <c r="AH130"/>
      <c r="AI130"/>
      <c r="AJ130"/>
      <c r="AK130"/>
      <c r="AL130"/>
      <c r="AX130"/>
      <c r="AY130"/>
      <c r="AZ130"/>
      <c r="BA130"/>
      <c r="BB130"/>
      <c r="BC130"/>
      <c r="BD130"/>
      <c r="BE130"/>
      <c r="BF130"/>
    </row>
    <row r="131" spans="2:119" x14ac:dyDescent="0.2">
      <c r="B131" s="890"/>
      <c r="C131" s="776"/>
      <c r="D131" s="756"/>
      <c r="E131" s="754"/>
      <c r="AD131"/>
      <c r="AE131"/>
      <c r="AF131"/>
      <c r="AG131"/>
      <c r="AH131"/>
      <c r="AI131"/>
      <c r="AJ131"/>
      <c r="AK131"/>
      <c r="AL131"/>
      <c r="AX131"/>
      <c r="AY131"/>
      <c r="AZ131"/>
      <c r="BA131"/>
      <c r="BB131"/>
      <c r="BC131"/>
      <c r="BD131"/>
      <c r="BE131"/>
      <c r="BF131"/>
    </row>
    <row r="132" spans="2:119" x14ac:dyDescent="0.2">
      <c r="B132" s="869"/>
      <c r="C132" s="869"/>
      <c r="D132" s="869"/>
      <c r="E132" s="869"/>
      <c r="AD132"/>
      <c r="AE132"/>
      <c r="AF132"/>
      <c r="AG132"/>
      <c r="AH132"/>
      <c r="AI132"/>
      <c r="AJ132"/>
      <c r="AK132"/>
      <c r="AL132"/>
      <c r="AX132"/>
      <c r="AY132"/>
      <c r="AZ132"/>
      <c r="BA132"/>
      <c r="BB132"/>
      <c r="BC132"/>
      <c r="BD132"/>
      <c r="BE132"/>
      <c r="BF132"/>
    </row>
    <row r="133" spans="2:119" ht="12.75" customHeight="1" x14ac:dyDescent="0.2">
      <c r="B133" s="888" t="s">
        <v>347</v>
      </c>
      <c r="C133" s="794"/>
      <c r="D133" s="796">
        <f>Data!E69</f>
        <v>1</v>
      </c>
      <c r="E133" s="752"/>
      <c r="AD133"/>
      <c r="AE133"/>
      <c r="AF133"/>
      <c r="AG133"/>
      <c r="AH133"/>
      <c r="AI133"/>
      <c r="AJ133"/>
      <c r="AK133"/>
      <c r="AL133"/>
      <c r="AX133"/>
      <c r="AY133"/>
      <c r="AZ133"/>
      <c r="BA133"/>
      <c r="BB133"/>
      <c r="BC133"/>
      <c r="BD133"/>
      <c r="BE133"/>
      <c r="BF133"/>
    </row>
    <row r="134" spans="2:119" x14ac:dyDescent="0.2">
      <c r="B134" s="889"/>
      <c r="C134" s="784" t="s">
        <v>335</v>
      </c>
      <c r="D134" s="636">
        <v>7.0000000000000007E-2</v>
      </c>
      <c r="E134" s="749"/>
      <c r="AD134"/>
      <c r="AE134"/>
      <c r="AF134"/>
      <c r="AG134"/>
      <c r="AH134"/>
      <c r="AI134"/>
      <c r="AJ134"/>
      <c r="AK134"/>
      <c r="AL134"/>
      <c r="AX134"/>
      <c r="AY134"/>
      <c r="AZ134"/>
      <c r="BA134"/>
      <c r="BB134"/>
      <c r="BC134"/>
      <c r="BD134"/>
      <c r="BE134"/>
      <c r="BF134"/>
    </row>
    <row r="135" spans="2:119" x14ac:dyDescent="0.2">
      <c r="B135" s="889"/>
      <c r="C135" s="784" t="s">
        <v>336</v>
      </c>
      <c r="D135" s="792">
        <f>CI22</f>
        <v>327320</v>
      </c>
      <c r="E135" s="749"/>
      <c r="AD135"/>
      <c r="AE135"/>
      <c r="AF135"/>
      <c r="AG135"/>
      <c r="AH135"/>
      <c r="AI135"/>
      <c r="AJ135"/>
      <c r="AK135"/>
      <c r="AL135"/>
      <c r="AX135"/>
      <c r="AY135"/>
      <c r="AZ135"/>
      <c r="BA135"/>
      <c r="BB135"/>
      <c r="BC135"/>
      <c r="BD135"/>
      <c r="BE135"/>
      <c r="BF135"/>
    </row>
    <row r="136" spans="2:119" ht="12.75" customHeight="1" x14ac:dyDescent="0.2">
      <c r="B136" s="889"/>
      <c r="C136" s="784" t="s">
        <v>233</v>
      </c>
      <c r="D136" s="552">
        <v>5000</v>
      </c>
      <c r="E136" s="749"/>
      <c r="AD136"/>
      <c r="AE136"/>
      <c r="AF136"/>
      <c r="AG136"/>
      <c r="AH136"/>
      <c r="AI136"/>
      <c r="AJ136"/>
      <c r="AK136"/>
      <c r="AL136"/>
      <c r="AX136"/>
      <c r="AY136"/>
      <c r="AZ136"/>
      <c r="BA136"/>
      <c r="BB136"/>
      <c r="BC136"/>
      <c r="BD136"/>
      <c r="BE136"/>
      <c r="BF136"/>
    </row>
    <row r="137" spans="2:119" x14ac:dyDescent="0.2">
      <c r="B137" s="889"/>
      <c r="C137" s="784" t="s">
        <v>192</v>
      </c>
      <c r="D137" s="596">
        <v>10</v>
      </c>
      <c r="E137" s="750" t="s">
        <v>193</v>
      </c>
      <c r="I137" s="1"/>
      <c r="AD137"/>
      <c r="AE137"/>
      <c r="AF137"/>
      <c r="AG137"/>
      <c r="AH137"/>
      <c r="AI137"/>
      <c r="AJ137"/>
      <c r="AK137"/>
      <c r="AL137"/>
      <c r="AX137"/>
      <c r="AY137"/>
      <c r="AZ137"/>
      <c r="BA137"/>
      <c r="BB137"/>
      <c r="BC137"/>
      <c r="BD137"/>
      <c r="BE137"/>
      <c r="BF137"/>
    </row>
    <row r="138" spans="2:119" x14ac:dyDescent="0.2">
      <c r="B138" s="889"/>
      <c r="C138" s="784" t="s">
        <v>338</v>
      </c>
      <c r="D138" s="552">
        <v>1000</v>
      </c>
      <c r="E138" s="750" t="s">
        <v>339</v>
      </c>
      <c r="I138" s="1"/>
      <c r="AD138"/>
      <c r="AE138"/>
      <c r="AF138"/>
      <c r="AG138"/>
      <c r="AH138"/>
      <c r="AI138"/>
      <c r="AJ138"/>
      <c r="AK138"/>
      <c r="AL138"/>
      <c r="AX138"/>
      <c r="AY138"/>
      <c r="AZ138"/>
      <c r="BA138"/>
      <c r="BB138"/>
      <c r="BC138"/>
      <c r="BD138"/>
      <c r="BE138"/>
      <c r="BF138"/>
    </row>
    <row r="139" spans="2:119" x14ac:dyDescent="0.2">
      <c r="B139" s="889"/>
      <c r="C139" s="784" t="s">
        <v>348</v>
      </c>
      <c r="D139" s="769">
        <f>D122</f>
        <v>25</v>
      </c>
      <c r="E139" s="750" t="s">
        <v>341</v>
      </c>
      <c r="I139" s="1"/>
      <c r="S139" s="1"/>
      <c r="AC139" s="1"/>
      <c r="AD139"/>
      <c r="AE139"/>
      <c r="AF139"/>
      <c r="AG139"/>
      <c r="AH139"/>
      <c r="AI139"/>
      <c r="AJ139"/>
      <c r="AK139"/>
      <c r="AL139"/>
      <c r="AM139" s="1"/>
      <c r="AW139" s="1"/>
      <c r="AX139"/>
      <c r="AY139"/>
      <c r="AZ139"/>
      <c r="BA139"/>
      <c r="BB139"/>
      <c r="BC139"/>
      <c r="BD139"/>
      <c r="BE139"/>
      <c r="BF139"/>
      <c r="BG139" s="1"/>
      <c r="BQ139" s="1"/>
      <c r="CA139" s="1"/>
      <c r="CK139" s="1"/>
      <c r="CU139" s="1"/>
      <c r="DE139" s="1"/>
      <c r="DO139" s="1"/>
    </row>
    <row r="140" spans="2:119" x14ac:dyDescent="0.2">
      <c r="B140" s="889"/>
      <c r="C140" s="784" t="s">
        <v>349</v>
      </c>
      <c r="D140" s="552">
        <v>95</v>
      </c>
      <c r="E140" s="750" t="s">
        <v>350</v>
      </c>
      <c r="I140" s="1"/>
      <c r="S140" s="1"/>
      <c r="AC140" s="1"/>
      <c r="AD140"/>
      <c r="AE140"/>
      <c r="AF140"/>
      <c r="AG140"/>
      <c r="AH140"/>
      <c r="AI140"/>
      <c r="AJ140"/>
      <c r="AK140"/>
      <c r="AL140"/>
      <c r="AM140" s="1"/>
      <c r="AW140" s="1"/>
      <c r="AX140"/>
      <c r="AY140"/>
      <c r="AZ140"/>
      <c r="BA140"/>
      <c r="BB140"/>
      <c r="BC140"/>
      <c r="BD140"/>
      <c r="BE140"/>
      <c r="BF140"/>
      <c r="BG140" s="1"/>
      <c r="BQ140" s="1"/>
      <c r="CA140" s="1"/>
      <c r="CK140" s="1"/>
      <c r="CU140" s="1"/>
      <c r="DE140" s="1"/>
      <c r="DO140" s="1"/>
    </row>
    <row r="141" spans="2:119" x14ac:dyDescent="0.2">
      <c r="B141" s="889"/>
      <c r="C141" s="784" t="s">
        <v>351</v>
      </c>
      <c r="D141" s="552">
        <v>100</v>
      </c>
      <c r="E141" s="750" t="s">
        <v>343</v>
      </c>
      <c r="I141" s="1"/>
      <c r="S141" s="1"/>
      <c r="AC141" s="1"/>
      <c r="AD141"/>
      <c r="AE141"/>
      <c r="AF141"/>
      <c r="AG141"/>
      <c r="AH141"/>
      <c r="AI141"/>
      <c r="AJ141"/>
      <c r="AK141"/>
      <c r="AL141"/>
      <c r="AM141" s="1"/>
      <c r="AW141" s="1"/>
      <c r="AX141"/>
      <c r="AY141"/>
      <c r="AZ141"/>
      <c r="BA141"/>
      <c r="BB141"/>
      <c r="BC141"/>
      <c r="BD141"/>
      <c r="BE141"/>
      <c r="BF141"/>
      <c r="BG141" s="1"/>
      <c r="BQ141" s="1"/>
      <c r="CA141" s="1"/>
      <c r="CK141" s="1"/>
      <c r="CU141" s="1"/>
      <c r="DE141" s="1"/>
      <c r="DO141" s="1"/>
    </row>
    <row r="142" spans="2:119" x14ac:dyDescent="0.2">
      <c r="B142" s="889"/>
      <c r="C142" s="784" t="s">
        <v>352</v>
      </c>
      <c r="D142" s="797">
        <v>1</v>
      </c>
      <c r="E142" s="795"/>
      <c r="I142" s="1"/>
      <c r="S142" s="1"/>
      <c r="AC142" s="1"/>
      <c r="AD142"/>
      <c r="AE142"/>
      <c r="AF142"/>
      <c r="AG142"/>
      <c r="AH142"/>
      <c r="AI142"/>
      <c r="AJ142"/>
      <c r="AK142"/>
      <c r="AL142"/>
      <c r="AM142" s="1"/>
      <c r="AW142" s="1"/>
      <c r="AX142"/>
      <c r="AY142"/>
      <c r="AZ142"/>
      <c r="BA142"/>
      <c r="BB142"/>
      <c r="BC142"/>
      <c r="BD142"/>
      <c r="BE142"/>
      <c r="BF142"/>
      <c r="BG142" s="1"/>
      <c r="BQ142" s="1"/>
      <c r="CA142" s="1"/>
      <c r="CK142" s="1"/>
      <c r="CU142" s="1"/>
      <c r="DE142" s="1"/>
      <c r="DO142" s="1"/>
    </row>
    <row r="143" spans="2:119" x14ac:dyDescent="0.2">
      <c r="B143" s="889"/>
      <c r="C143" s="784" t="s">
        <v>353</v>
      </c>
      <c r="D143" s="793">
        <f>D125</f>
        <v>2</v>
      </c>
      <c r="E143" s="750" t="s">
        <v>27</v>
      </c>
      <c r="I143" s="1"/>
      <c r="S143" s="1"/>
      <c r="AC143" s="1"/>
      <c r="AD143"/>
      <c r="AE143"/>
      <c r="AF143"/>
      <c r="AG143"/>
      <c r="AH143"/>
      <c r="AI143"/>
      <c r="AJ143"/>
      <c r="AK143"/>
      <c r="AL143"/>
      <c r="AM143" s="1"/>
      <c r="AW143" s="1"/>
      <c r="AX143"/>
      <c r="AY143"/>
      <c r="AZ143"/>
      <c r="BA143"/>
      <c r="BB143"/>
      <c r="BC143"/>
      <c r="BD143"/>
      <c r="BE143"/>
      <c r="BF143"/>
      <c r="BG143" s="1"/>
      <c r="BQ143" s="1"/>
      <c r="CA143" s="1"/>
      <c r="CK143" s="1"/>
      <c r="CU143" s="1"/>
      <c r="DE143" s="1"/>
      <c r="DO143" s="1"/>
    </row>
    <row r="144" spans="2:119" ht="12.75" customHeight="1" x14ac:dyDescent="0.2">
      <c r="B144" s="889"/>
      <c r="C144" s="775" t="s">
        <v>222</v>
      </c>
      <c r="D144" s="536">
        <v>2</v>
      </c>
      <c r="E144" s="749"/>
      <c r="I144" s="1"/>
      <c r="S144" s="1"/>
      <c r="AC144" s="1"/>
      <c r="AD144"/>
      <c r="AE144"/>
      <c r="AF144"/>
      <c r="AG144"/>
      <c r="AH144"/>
      <c r="AI144"/>
      <c r="AJ144"/>
      <c r="AK144"/>
      <c r="AL144"/>
      <c r="AM144" s="1"/>
      <c r="AW144" s="1"/>
      <c r="AX144"/>
      <c r="AY144"/>
      <c r="AZ144"/>
      <c r="BA144"/>
      <c r="BB144"/>
      <c r="BC144"/>
      <c r="BD144"/>
      <c r="BE144"/>
      <c r="BF144"/>
      <c r="BG144" s="1"/>
      <c r="BQ144" s="1"/>
      <c r="CA144" s="1"/>
      <c r="CK144" s="1"/>
      <c r="CU144" s="1"/>
      <c r="DE144" s="1"/>
      <c r="DO144" s="1"/>
    </row>
    <row r="145" spans="2:119" x14ac:dyDescent="0.2">
      <c r="B145" s="889"/>
      <c r="C145" s="775" t="s">
        <v>229</v>
      </c>
      <c r="D145" s="536">
        <v>14</v>
      </c>
      <c r="E145" s="749"/>
      <c r="I145" s="1"/>
      <c r="S145" s="1"/>
      <c r="AC145" s="1"/>
      <c r="AD145"/>
      <c r="AE145"/>
      <c r="AF145"/>
      <c r="AG145"/>
      <c r="AH145"/>
      <c r="AI145"/>
      <c r="AJ145"/>
      <c r="AK145"/>
      <c r="AL145"/>
      <c r="AM145" s="1"/>
      <c r="AW145" s="1"/>
      <c r="AX145"/>
      <c r="AY145"/>
      <c r="AZ145"/>
      <c r="BA145"/>
      <c r="BB145"/>
      <c r="BC145"/>
      <c r="BD145"/>
      <c r="BE145"/>
      <c r="BF145"/>
      <c r="BG145" s="1"/>
      <c r="BQ145" s="1"/>
      <c r="CA145" s="1"/>
      <c r="CK145" s="1"/>
      <c r="CU145" s="1"/>
      <c r="DE145" s="1"/>
      <c r="DO145" s="1"/>
    </row>
    <row r="146" spans="2:119" x14ac:dyDescent="0.2">
      <c r="B146" s="889"/>
      <c r="C146" s="775" t="s">
        <v>225</v>
      </c>
      <c r="D146" s="552">
        <v>1500</v>
      </c>
      <c r="E146" s="749"/>
      <c r="I146" s="1"/>
      <c r="S146" s="1"/>
      <c r="AC146" s="1"/>
      <c r="AD146"/>
      <c r="AE146"/>
      <c r="AF146"/>
      <c r="AG146"/>
      <c r="AH146"/>
      <c r="AI146"/>
      <c r="AJ146"/>
      <c r="AK146"/>
      <c r="AL146"/>
      <c r="AM146" s="1"/>
      <c r="AW146" s="1"/>
      <c r="AX146"/>
      <c r="AY146"/>
      <c r="AZ146"/>
      <c r="BA146"/>
      <c r="BB146"/>
      <c r="BC146"/>
      <c r="BD146"/>
      <c r="BE146"/>
      <c r="BF146"/>
      <c r="BG146" s="1"/>
      <c r="BQ146" s="1"/>
      <c r="CA146" s="1"/>
      <c r="CK146" s="1"/>
      <c r="CU146" s="1"/>
      <c r="DE146" s="1"/>
      <c r="DO146" s="1"/>
    </row>
    <row r="147" spans="2:119" x14ac:dyDescent="0.2">
      <c r="B147" s="889"/>
      <c r="C147" s="775" t="s">
        <v>354</v>
      </c>
      <c r="D147" s="552">
        <v>0</v>
      </c>
      <c r="E147" s="749"/>
      <c r="I147" s="1"/>
      <c r="S147" s="1"/>
      <c r="AC147" s="1"/>
      <c r="AD147"/>
      <c r="AE147"/>
      <c r="AF147"/>
      <c r="AG147"/>
      <c r="AH147"/>
      <c r="AI147"/>
      <c r="AJ147"/>
      <c r="AK147"/>
      <c r="AL147"/>
      <c r="AM147" s="1"/>
      <c r="AW147" s="1"/>
      <c r="AX147"/>
      <c r="AY147"/>
      <c r="AZ147"/>
      <c r="BA147"/>
      <c r="BB147"/>
      <c r="BC147"/>
      <c r="BD147"/>
      <c r="BE147"/>
      <c r="BF147"/>
      <c r="BG147" s="1"/>
      <c r="BQ147" s="1"/>
      <c r="CA147" s="1"/>
      <c r="CK147" s="1"/>
      <c r="CU147" s="1"/>
      <c r="DE147" s="1"/>
      <c r="DO147" s="1"/>
    </row>
    <row r="148" spans="2:119" x14ac:dyDescent="0.2">
      <c r="B148" s="889"/>
      <c r="C148" s="775" t="s">
        <v>355</v>
      </c>
      <c r="D148" s="536">
        <v>14</v>
      </c>
      <c r="E148" s="749"/>
      <c r="I148" s="1"/>
      <c r="S148" s="1"/>
      <c r="AC148" s="1"/>
      <c r="AD148"/>
      <c r="AE148"/>
      <c r="AF148"/>
      <c r="AG148"/>
      <c r="AH148"/>
      <c r="AI148"/>
      <c r="AJ148"/>
      <c r="AK148"/>
      <c r="AL148"/>
      <c r="AM148" s="1"/>
      <c r="AW148" s="1"/>
      <c r="AX148"/>
      <c r="AY148"/>
      <c r="AZ148"/>
      <c r="BA148"/>
      <c r="BB148"/>
      <c r="BC148"/>
      <c r="BD148"/>
      <c r="BE148"/>
      <c r="BF148"/>
      <c r="BG148" s="1"/>
      <c r="BQ148" s="1"/>
      <c r="CA148" s="1"/>
      <c r="CK148" s="1"/>
      <c r="CU148" s="1"/>
      <c r="DE148" s="1"/>
      <c r="DO148" s="1"/>
    </row>
    <row r="149" spans="2:119" x14ac:dyDescent="0.2">
      <c r="B149" s="890"/>
      <c r="C149" s="776" t="s">
        <v>210</v>
      </c>
      <c r="D149" s="665">
        <v>0</v>
      </c>
      <c r="E149" s="754"/>
      <c r="I149" s="1"/>
      <c r="S149" s="1"/>
      <c r="AC149" s="1"/>
      <c r="AD149"/>
      <c r="AE149"/>
      <c r="AF149"/>
      <c r="AG149"/>
      <c r="AH149"/>
      <c r="AI149"/>
      <c r="AJ149"/>
      <c r="AK149"/>
      <c r="AL149"/>
      <c r="AM149" s="1"/>
      <c r="AW149" s="1"/>
      <c r="AX149"/>
      <c r="AY149"/>
      <c r="AZ149"/>
      <c r="BA149"/>
      <c r="BB149"/>
      <c r="BC149"/>
      <c r="BD149"/>
      <c r="BE149"/>
      <c r="BF149"/>
      <c r="BG149" s="1"/>
      <c r="BQ149" s="1"/>
      <c r="CA149" s="1"/>
      <c r="CK149" s="1"/>
      <c r="CU149" s="1"/>
      <c r="DE149" s="1"/>
      <c r="DO149" s="1"/>
    </row>
    <row r="150" spans="2:119" x14ac:dyDescent="0.2">
      <c r="B150" s="869"/>
      <c r="C150" s="869"/>
      <c r="D150" s="869"/>
      <c r="E150" s="869"/>
      <c r="I150" s="1"/>
      <c r="S150" s="1"/>
      <c r="AC150" s="1"/>
      <c r="AD150"/>
      <c r="AE150"/>
      <c r="AF150"/>
      <c r="AG150"/>
      <c r="AH150"/>
      <c r="AI150"/>
      <c r="AJ150"/>
      <c r="AK150"/>
      <c r="AL150"/>
      <c r="AM150" s="1"/>
      <c r="AW150" s="1"/>
      <c r="AX150"/>
      <c r="AY150"/>
      <c r="AZ150"/>
      <c r="BA150"/>
      <c r="BB150"/>
      <c r="BC150"/>
      <c r="BD150"/>
      <c r="BE150"/>
      <c r="BF150"/>
      <c r="BG150" s="1"/>
      <c r="BQ150" s="1"/>
      <c r="CA150" s="1"/>
      <c r="CK150" s="1"/>
      <c r="CU150" s="1"/>
      <c r="DE150" s="1"/>
      <c r="DO150" s="1"/>
    </row>
    <row r="151" spans="2:119" ht="12.75" customHeight="1" x14ac:dyDescent="0.2">
      <c r="B151" s="908" t="s">
        <v>356</v>
      </c>
      <c r="C151" s="794"/>
      <c r="D151" s="798"/>
      <c r="E151" s="752"/>
      <c r="I151" s="1"/>
      <c r="S151" s="1"/>
      <c r="AC151" s="1"/>
      <c r="AD151"/>
      <c r="AE151"/>
      <c r="AF151"/>
      <c r="AG151"/>
      <c r="AH151"/>
      <c r="AI151"/>
      <c r="AJ151"/>
      <c r="AK151"/>
      <c r="AL151"/>
      <c r="AM151" s="1"/>
      <c r="AW151" s="1"/>
      <c r="AX151"/>
      <c r="AY151"/>
      <c r="AZ151"/>
      <c r="BA151"/>
      <c r="BB151"/>
      <c r="BC151"/>
      <c r="BD151"/>
      <c r="BE151"/>
      <c r="BF151"/>
      <c r="BG151" s="1"/>
      <c r="BQ151" s="1"/>
      <c r="CA151" s="1"/>
      <c r="CK151" s="1"/>
      <c r="CU151" s="1"/>
      <c r="DE151" s="1"/>
      <c r="DO151" s="1"/>
    </row>
    <row r="152" spans="2:119" ht="12.75" customHeight="1" x14ac:dyDescent="0.2">
      <c r="B152" s="909"/>
      <c r="C152" s="775" t="s">
        <v>357</v>
      </c>
      <c r="D152" s="636">
        <v>7.0000000000000007E-2</v>
      </c>
      <c r="E152" s="749"/>
      <c r="I152" s="1"/>
      <c r="S152" s="1"/>
      <c r="AC152" s="1"/>
      <c r="AD152"/>
      <c r="AE152"/>
      <c r="AF152"/>
      <c r="AG152"/>
      <c r="AH152"/>
      <c r="AI152"/>
      <c r="AJ152"/>
      <c r="AK152"/>
      <c r="AL152"/>
      <c r="AM152" s="1"/>
      <c r="AW152" s="1"/>
      <c r="AX152"/>
      <c r="AY152"/>
      <c r="AZ152"/>
      <c r="BA152"/>
      <c r="BB152"/>
      <c r="BC152"/>
      <c r="BD152"/>
      <c r="BE152"/>
      <c r="BF152"/>
      <c r="BG152" s="1"/>
      <c r="BQ152" s="1"/>
      <c r="CA152" s="1"/>
      <c r="CK152" s="1"/>
      <c r="CU152" s="1"/>
      <c r="DE152" s="1"/>
      <c r="DO152" s="1"/>
    </row>
    <row r="153" spans="2:119" x14ac:dyDescent="0.2">
      <c r="B153" s="909"/>
      <c r="C153" s="775" t="s">
        <v>358</v>
      </c>
      <c r="D153" s="792">
        <f>Data!E22</f>
        <v>0</v>
      </c>
      <c r="E153" s="749"/>
      <c r="I153" s="1"/>
      <c r="S153" s="1"/>
      <c r="AC153" s="1"/>
      <c r="AD153"/>
      <c r="AE153"/>
      <c r="AF153"/>
      <c r="AG153"/>
      <c r="AH153"/>
      <c r="AI153"/>
      <c r="AJ153"/>
      <c r="AK153"/>
      <c r="AL153"/>
      <c r="AM153" s="1"/>
      <c r="AW153" s="1"/>
      <c r="AX153"/>
      <c r="AY153"/>
      <c r="AZ153"/>
      <c r="BA153"/>
      <c r="BB153"/>
      <c r="BC153"/>
      <c r="BD153"/>
      <c r="BE153"/>
      <c r="BF153"/>
      <c r="BG153" s="1"/>
      <c r="BQ153" s="1"/>
      <c r="CA153" s="1"/>
      <c r="CK153" s="1"/>
      <c r="CU153" s="1"/>
      <c r="DE153" s="1"/>
      <c r="DO153" s="1"/>
    </row>
    <row r="154" spans="2:119" x14ac:dyDescent="0.2">
      <c r="B154" s="909"/>
      <c r="C154" s="775" t="s">
        <v>359</v>
      </c>
      <c r="D154" s="799">
        <v>0</v>
      </c>
      <c r="E154" s="749"/>
      <c r="I154" s="1"/>
      <c r="S154" s="1"/>
      <c r="AC154" s="1"/>
      <c r="AD154"/>
      <c r="AE154"/>
      <c r="AF154"/>
      <c r="AG154"/>
      <c r="AH154"/>
      <c r="AI154"/>
      <c r="AJ154"/>
      <c r="AK154"/>
      <c r="AL154"/>
      <c r="AM154" s="1"/>
      <c r="AW154" s="1"/>
      <c r="AX154"/>
      <c r="AY154"/>
      <c r="AZ154"/>
      <c r="BA154"/>
      <c r="BB154"/>
      <c r="BC154"/>
      <c r="BD154"/>
      <c r="BE154"/>
      <c r="BF154"/>
      <c r="BG154" s="1"/>
      <c r="BQ154" s="1"/>
      <c r="CA154" s="1"/>
      <c r="CK154" s="1"/>
      <c r="CU154" s="1"/>
      <c r="DE154" s="1"/>
      <c r="DO154" s="1"/>
    </row>
    <row r="155" spans="2:119" x14ac:dyDescent="0.2">
      <c r="B155" s="909"/>
      <c r="C155" s="775" t="s">
        <v>360</v>
      </c>
      <c r="D155" s="800">
        <f>Data!E11</f>
        <v>1</v>
      </c>
      <c r="E155" s="749"/>
      <c r="I155" s="1"/>
      <c r="S155" s="1"/>
      <c r="AC155" s="1"/>
      <c r="AD155"/>
      <c r="AE155"/>
      <c r="AF155"/>
      <c r="AG155"/>
      <c r="AH155"/>
      <c r="AI155"/>
      <c r="AJ155"/>
      <c r="AK155"/>
      <c r="AL155"/>
      <c r="AM155" s="1"/>
      <c r="AW155" s="1"/>
      <c r="AX155"/>
      <c r="AY155"/>
      <c r="AZ155"/>
      <c r="BA155"/>
      <c r="BB155"/>
      <c r="BC155"/>
      <c r="BD155"/>
      <c r="BE155"/>
      <c r="BF155"/>
      <c r="BG155" s="1"/>
      <c r="BQ155" s="1"/>
      <c r="CA155" s="1"/>
      <c r="CK155" s="1"/>
      <c r="CU155" s="1"/>
      <c r="DE155" s="1"/>
      <c r="DO155" s="1"/>
    </row>
    <row r="156" spans="2:119" x14ac:dyDescent="0.2">
      <c r="B156" s="909"/>
      <c r="C156" s="775" t="s">
        <v>361</v>
      </c>
      <c r="D156" s="797">
        <v>15</v>
      </c>
      <c r="E156" s="749"/>
      <c r="I156" s="1"/>
      <c r="S156" s="1"/>
      <c r="AC156" s="1"/>
      <c r="AD156"/>
      <c r="AE156"/>
      <c r="AF156"/>
      <c r="AG156"/>
      <c r="AH156"/>
      <c r="AI156"/>
      <c r="AJ156"/>
      <c r="AK156"/>
      <c r="AL156"/>
      <c r="AM156" s="1"/>
      <c r="AW156" s="1"/>
      <c r="AX156"/>
      <c r="AY156"/>
      <c r="AZ156"/>
      <c r="BA156"/>
      <c r="BB156"/>
      <c r="BC156"/>
      <c r="BD156"/>
      <c r="BE156"/>
      <c r="BF156"/>
      <c r="BG156" s="1"/>
      <c r="BQ156" s="1"/>
      <c r="CA156" s="1"/>
      <c r="CK156" s="1"/>
      <c r="CU156" s="1"/>
      <c r="DE156" s="1"/>
      <c r="DO156" s="1"/>
    </row>
    <row r="157" spans="2:119" x14ac:dyDescent="0.2">
      <c r="B157" s="910"/>
      <c r="C157" s="776"/>
      <c r="D157" s="763"/>
      <c r="E157" s="754"/>
      <c r="I157" s="1"/>
      <c r="S157" s="1"/>
      <c r="AC157" s="1"/>
      <c r="AD157"/>
      <c r="AE157"/>
      <c r="AF157"/>
      <c r="AG157"/>
      <c r="AH157"/>
      <c r="AI157"/>
      <c r="AJ157"/>
      <c r="AK157"/>
      <c r="AL157"/>
      <c r="AM157" s="1"/>
      <c r="AW157" s="1"/>
      <c r="AX157"/>
      <c r="AY157"/>
      <c r="AZ157"/>
      <c r="BA157"/>
      <c r="BB157"/>
      <c r="BC157"/>
      <c r="BD157"/>
      <c r="BE157"/>
      <c r="BF157"/>
      <c r="BG157" s="1"/>
      <c r="BQ157" s="1"/>
      <c r="CA157" s="1"/>
      <c r="CK157" s="1"/>
      <c r="CU157" s="1"/>
      <c r="DE157" s="1"/>
      <c r="DO157" s="1"/>
    </row>
    <row r="158" spans="2:119" x14ac:dyDescent="0.2">
      <c r="B158" s="869"/>
      <c r="C158" s="869"/>
      <c r="D158" s="869"/>
      <c r="E158" s="869"/>
      <c r="I158" s="1"/>
      <c r="S158" s="1"/>
      <c r="AC158" s="1"/>
      <c r="AD158"/>
      <c r="AE158"/>
      <c r="AF158"/>
      <c r="AG158"/>
      <c r="AH158"/>
      <c r="AI158"/>
      <c r="AJ158"/>
      <c r="AK158"/>
      <c r="AL158"/>
      <c r="AM158" s="1"/>
      <c r="AW158" s="1"/>
      <c r="AX158"/>
      <c r="AY158"/>
      <c r="AZ158"/>
      <c r="BA158"/>
      <c r="BB158"/>
      <c r="BC158"/>
      <c r="BD158"/>
      <c r="BE158"/>
      <c r="BF158"/>
      <c r="BG158" s="1"/>
      <c r="BQ158" s="1"/>
      <c r="CA158" s="1"/>
      <c r="CK158" s="1"/>
      <c r="CU158" s="1"/>
      <c r="DE158" s="1"/>
      <c r="DO158" s="1"/>
    </row>
    <row r="159" spans="2:119" ht="12.75" customHeight="1" x14ac:dyDescent="0.2">
      <c r="B159" s="908" t="s">
        <v>362</v>
      </c>
      <c r="C159" s="794"/>
      <c r="D159" s="798"/>
      <c r="E159" s="752"/>
      <c r="I159" s="1"/>
      <c r="S159" s="1"/>
      <c r="AC159" s="1"/>
      <c r="AD159"/>
      <c r="AE159"/>
      <c r="AF159"/>
      <c r="AG159"/>
      <c r="AH159"/>
      <c r="AI159"/>
      <c r="AJ159"/>
      <c r="AK159"/>
      <c r="AL159"/>
      <c r="AM159" s="1"/>
      <c r="AW159" s="1"/>
      <c r="AX159"/>
      <c r="AY159"/>
      <c r="AZ159"/>
      <c r="BA159"/>
      <c r="BB159"/>
      <c r="BC159"/>
      <c r="BD159"/>
      <c r="BE159"/>
      <c r="BF159"/>
      <c r="BG159" s="1"/>
      <c r="BQ159" s="1"/>
      <c r="CA159" s="1"/>
      <c r="CK159" s="1"/>
      <c r="CU159" s="1"/>
      <c r="DE159" s="1"/>
      <c r="DO159" s="1"/>
    </row>
    <row r="160" spans="2:119" x14ac:dyDescent="0.2">
      <c r="B160" s="909"/>
      <c r="C160" s="775" t="s">
        <v>357</v>
      </c>
      <c r="D160" s="636">
        <v>7.0000000000000007E-2</v>
      </c>
      <c r="E160" s="749"/>
      <c r="I160" s="1"/>
      <c r="S160" s="1"/>
      <c r="AC160" s="1"/>
      <c r="AD160"/>
      <c r="AE160"/>
      <c r="AF160"/>
      <c r="AG160"/>
      <c r="AH160"/>
      <c r="AI160"/>
      <c r="AJ160"/>
      <c r="AK160"/>
      <c r="AL160"/>
      <c r="AM160" s="1"/>
      <c r="AW160" s="1"/>
      <c r="AX160"/>
      <c r="AY160"/>
      <c r="AZ160"/>
      <c r="BA160"/>
      <c r="BB160"/>
      <c r="BC160"/>
      <c r="BD160"/>
      <c r="BE160"/>
      <c r="BF160"/>
      <c r="BG160" s="1"/>
      <c r="BQ160" s="1"/>
      <c r="CA160" s="1"/>
      <c r="CK160" s="1"/>
      <c r="CU160" s="1"/>
      <c r="DE160" s="1"/>
      <c r="DO160" s="1"/>
    </row>
    <row r="161" spans="2:119" x14ac:dyDescent="0.2">
      <c r="B161" s="909"/>
      <c r="C161" s="775" t="s">
        <v>363</v>
      </c>
      <c r="D161" s="792">
        <f>Data!E29</f>
        <v>0</v>
      </c>
      <c r="E161" s="749"/>
      <c r="I161" s="1"/>
      <c r="S161" s="1"/>
      <c r="AC161" s="1"/>
      <c r="AD161"/>
      <c r="AE161"/>
      <c r="AF161"/>
      <c r="AG161"/>
      <c r="AH161"/>
      <c r="AI161"/>
      <c r="AJ161"/>
      <c r="AK161"/>
      <c r="AL161"/>
      <c r="AM161" s="1"/>
      <c r="AW161" s="1"/>
      <c r="AX161"/>
      <c r="AY161"/>
      <c r="AZ161"/>
      <c r="BA161"/>
      <c r="BB161"/>
      <c r="BC161"/>
      <c r="BD161"/>
      <c r="BE161"/>
      <c r="BF161"/>
      <c r="BG161" s="1"/>
      <c r="BQ161" s="1"/>
      <c r="CA161" s="1"/>
      <c r="CK161" s="1"/>
      <c r="CU161" s="1"/>
      <c r="DE161" s="1"/>
      <c r="DO161" s="1"/>
    </row>
    <row r="162" spans="2:119" x14ac:dyDescent="0.2">
      <c r="B162" s="909"/>
      <c r="C162" s="775" t="s">
        <v>359</v>
      </c>
      <c r="D162" s="799">
        <v>0</v>
      </c>
      <c r="E162" s="749"/>
      <c r="I162" s="1"/>
      <c r="S162" s="1"/>
      <c r="AC162" s="1"/>
      <c r="AD162"/>
      <c r="AE162"/>
      <c r="AF162"/>
      <c r="AG162"/>
      <c r="AH162"/>
      <c r="AI162"/>
      <c r="AJ162"/>
      <c r="AK162"/>
      <c r="AL162"/>
      <c r="AM162" s="1"/>
      <c r="AW162" s="1"/>
      <c r="AX162"/>
      <c r="AY162"/>
      <c r="AZ162"/>
      <c r="BA162"/>
      <c r="BB162"/>
      <c r="BC162"/>
      <c r="BD162"/>
      <c r="BE162"/>
      <c r="BF162"/>
      <c r="BG162" s="1"/>
      <c r="BQ162" s="1"/>
      <c r="CA162" s="1"/>
      <c r="CK162" s="1"/>
      <c r="CU162" s="1"/>
      <c r="DE162" s="1"/>
      <c r="DO162" s="1"/>
    </row>
    <row r="163" spans="2:119" x14ac:dyDescent="0.2">
      <c r="B163" s="909"/>
      <c r="C163" s="775" t="s">
        <v>360</v>
      </c>
      <c r="D163" s="800">
        <f>Data!E16</f>
        <v>1</v>
      </c>
      <c r="E163" s="749"/>
      <c r="I163" s="1"/>
      <c r="S163" s="1"/>
      <c r="AC163" s="1"/>
      <c r="AD163"/>
      <c r="AE163"/>
      <c r="AF163"/>
      <c r="AG163"/>
      <c r="AH163"/>
      <c r="AI163"/>
      <c r="AJ163"/>
      <c r="AK163"/>
      <c r="AL163"/>
      <c r="AM163" s="1"/>
      <c r="AW163" s="1"/>
      <c r="AX163"/>
      <c r="AY163"/>
      <c r="AZ163"/>
      <c r="BA163"/>
      <c r="BB163"/>
      <c r="BC163"/>
      <c r="BD163"/>
      <c r="BE163"/>
      <c r="BF163"/>
      <c r="BG163" s="1"/>
      <c r="BQ163" s="1"/>
      <c r="CA163" s="1"/>
      <c r="CK163" s="1"/>
      <c r="CU163" s="1"/>
      <c r="DE163" s="1"/>
      <c r="DO163" s="1"/>
    </row>
    <row r="164" spans="2:119" x14ac:dyDescent="0.2">
      <c r="B164" s="909"/>
      <c r="C164" s="775" t="s">
        <v>361</v>
      </c>
      <c r="D164" s="797">
        <v>15</v>
      </c>
      <c r="E164" s="749"/>
      <c r="I164" s="1"/>
      <c r="S164" s="1"/>
      <c r="AC164" s="1"/>
      <c r="AD164"/>
      <c r="AE164"/>
      <c r="AF164"/>
      <c r="AG164"/>
      <c r="AH164"/>
      <c r="AI164"/>
      <c r="AJ164"/>
      <c r="AK164"/>
      <c r="AL164"/>
      <c r="AM164" s="1"/>
      <c r="AW164" s="1"/>
      <c r="AX164"/>
      <c r="AY164"/>
      <c r="AZ164"/>
      <c r="BA164"/>
      <c r="BB164"/>
      <c r="BC164"/>
      <c r="BD164"/>
      <c r="BE164"/>
      <c r="BF164"/>
      <c r="BG164" s="1"/>
      <c r="BQ164" s="1"/>
      <c r="CA164" s="1"/>
      <c r="CK164" s="1"/>
      <c r="CU164" s="1"/>
      <c r="DE164" s="1"/>
      <c r="DO164" s="1"/>
    </row>
    <row r="165" spans="2:119" x14ac:dyDescent="0.2">
      <c r="B165" s="910"/>
      <c r="C165" s="776"/>
      <c r="D165" s="763"/>
      <c r="E165" s="754"/>
      <c r="I165" s="1"/>
      <c r="S165" s="1"/>
      <c r="AC165" s="1"/>
      <c r="AD165"/>
      <c r="AE165"/>
      <c r="AF165"/>
      <c r="AG165"/>
      <c r="AH165"/>
      <c r="AI165"/>
      <c r="AJ165"/>
      <c r="AK165"/>
      <c r="AL165"/>
      <c r="AM165" s="1"/>
      <c r="AW165" s="1"/>
      <c r="AX165"/>
      <c r="AY165"/>
      <c r="AZ165"/>
      <c r="BA165"/>
      <c r="BB165"/>
      <c r="BC165"/>
      <c r="BD165"/>
      <c r="BE165"/>
      <c r="BF165"/>
      <c r="BG165" s="1"/>
      <c r="BQ165" s="1"/>
      <c r="CA165" s="1"/>
      <c r="CK165" s="1"/>
      <c r="CU165" s="1"/>
      <c r="DE165" s="1"/>
      <c r="DO165" s="1"/>
    </row>
    <row r="166" spans="2:119" x14ac:dyDescent="0.2">
      <c r="B166" s="869"/>
      <c r="C166" s="869"/>
      <c r="D166" s="869"/>
      <c r="E166" s="869"/>
      <c r="I166" s="1"/>
      <c r="S166" s="1"/>
      <c r="AC166" s="1"/>
      <c r="AD166"/>
      <c r="AE166"/>
      <c r="AF166"/>
      <c r="AG166"/>
      <c r="AH166"/>
      <c r="AI166"/>
      <c r="AJ166"/>
      <c r="AK166"/>
      <c r="AL166"/>
      <c r="AM166" s="1"/>
      <c r="AW166" s="1"/>
      <c r="AX166"/>
      <c r="AY166"/>
      <c r="AZ166"/>
      <c r="BA166"/>
      <c r="BB166"/>
      <c r="BC166"/>
      <c r="BD166"/>
      <c r="BE166"/>
      <c r="BF166"/>
      <c r="BG166" s="1"/>
      <c r="BQ166" s="1"/>
      <c r="CA166" s="1"/>
      <c r="CK166" s="1"/>
      <c r="CU166" s="1"/>
      <c r="DE166" s="1"/>
      <c r="DO166" s="1"/>
    </row>
    <row r="167" spans="2:119" ht="27.6" customHeight="1" x14ac:dyDescent="0.2">
      <c r="B167" s="905" t="s">
        <v>364</v>
      </c>
      <c r="C167" s="803" t="s">
        <v>365</v>
      </c>
      <c r="D167" s="804"/>
      <c r="E167" s="805" t="s">
        <v>366</v>
      </c>
      <c r="I167" s="1"/>
      <c r="S167" s="1"/>
      <c r="AC167" s="1"/>
      <c r="AD167"/>
      <c r="AE167"/>
      <c r="AF167"/>
      <c r="AG167"/>
      <c r="AH167"/>
      <c r="AI167"/>
      <c r="AJ167"/>
      <c r="AK167"/>
      <c r="AL167"/>
      <c r="AM167" s="1"/>
      <c r="AW167" s="1"/>
      <c r="AX167"/>
      <c r="AY167"/>
      <c r="AZ167"/>
      <c r="BA167"/>
      <c r="BB167"/>
      <c r="BC167"/>
      <c r="BD167"/>
      <c r="BE167"/>
      <c r="BF167"/>
      <c r="BG167" s="1"/>
      <c r="BQ167" s="1"/>
      <c r="CA167" s="1"/>
      <c r="CK167" s="1"/>
      <c r="CU167" s="1"/>
      <c r="DE167" s="1"/>
      <c r="DO167" s="1"/>
    </row>
    <row r="168" spans="2:119" ht="12.6" customHeight="1" x14ac:dyDescent="0.2">
      <c r="B168" s="906"/>
      <c r="C168" s="801" t="s">
        <v>367</v>
      </c>
      <c r="D168" s="802">
        <v>160</v>
      </c>
      <c r="E168" s="749">
        <f>SUM(Data!E14+Data!E19)</f>
        <v>160</v>
      </c>
      <c r="I168" s="1"/>
      <c r="S168" s="1"/>
      <c r="AC168" s="1"/>
      <c r="AD168"/>
      <c r="AE168"/>
      <c r="AF168"/>
      <c r="AG168"/>
      <c r="AH168"/>
      <c r="AI168"/>
      <c r="AJ168"/>
      <c r="AK168"/>
      <c r="AL168"/>
      <c r="AM168" s="1"/>
      <c r="AW168" s="1"/>
      <c r="AX168"/>
      <c r="AY168"/>
      <c r="AZ168"/>
      <c r="BA168"/>
      <c r="BB168"/>
      <c r="BC168"/>
      <c r="BD168"/>
      <c r="BE168"/>
      <c r="BF168"/>
      <c r="BG168" s="1"/>
      <c r="BQ168" s="1"/>
      <c r="CA168" s="1"/>
      <c r="CK168" s="1"/>
      <c r="CU168" s="1"/>
      <c r="DE168" s="1"/>
      <c r="DO168" s="1"/>
    </row>
    <row r="169" spans="2:119" x14ac:dyDescent="0.2">
      <c r="B169" s="906"/>
      <c r="C169" s="775" t="s">
        <v>357</v>
      </c>
      <c r="D169" s="636">
        <v>7.0000000000000007E-2</v>
      </c>
      <c r="E169" s="749"/>
      <c r="I169" s="1"/>
      <c r="S169" s="1"/>
      <c r="AC169" s="1"/>
      <c r="AD169"/>
      <c r="AE169"/>
      <c r="AF169"/>
      <c r="AG169"/>
      <c r="AH169"/>
      <c r="AI169"/>
      <c r="AJ169"/>
      <c r="AK169"/>
      <c r="AL169"/>
      <c r="AM169" s="1"/>
      <c r="AW169" s="1"/>
      <c r="AX169"/>
      <c r="AY169"/>
      <c r="AZ169"/>
      <c r="BA169"/>
      <c r="BB169"/>
      <c r="BC169"/>
      <c r="BD169"/>
      <c r="BE169"/>
      <c r="BF169"/>
      <c r="BG169" s="1"/>
      <c r="BQ169" s="1"/>
      <c r="CA169" s="1"/>
      <c r="CK169" s="1"/>
      <c r="CU169" s="1"/>
      <c r="DE169" s="1"/>
      <c r="DO169" s="1"/>
    </row>
    <row r="170" spans="2:119" x14ac:dyDescent="0.2">
      <c r="B170" s="906"/>
      <c r="C170" s="775" t="s">
        <v>368</v>
      </c>
      <c r="D170" s="552">
        <v>0</v>
      </c>
      <c r="E170" s="749"/>
      <c r="I170" s="1"/>
      <c r="S170" s="1"/>
      <c r="AC170" s="1"/>
      <c r="AD170"/>
      <c r="AE170"/>
      <c r="AF170"/>
      <c r="AG170"/>
      <c r="AH170"/>
      <c r="AI170"/>
      <c r="AJ170"/>
      <c r="AK170"/>
      <c r="AL170"/>
      <c r="AM170" s="1"/>
      <c r="AW170" s="1"/>
      <c r="AX170"/>
      <c r="AY170"/>
      <c r="AZ170"/>
      <c r="BA170"/>
      <c r="BB170"/>
      <c r="BC170"/>
      <c r="BD170"/>
      <c r="BE170"/>
      <c r="BF170"/>
      <c r="BG170" s="1"/>
      <c r="BQ170" s="1"/>
      <c r="CA170" s="1"/>
      <c r="CK170" s="1"/>
      <c r="CU170" s="1"/>
      <c r="DE170" s="1"/>
      <c r="DO170" s="1"/>
    </row>
    <row r="171" spans="2:119" x14ac:dyDescent="0.2">
      <c r="B171" s="906"/>
      <c r="C171" s="775" t="s">
        <v>369</v>
      </c>
      <c r="D171" s="797">
        <v>0</v>
      </c>
      <c r="E171" s="749"/>
      <c r="I171" s="1"/>
      <c r="S171" s="1"/>
      <c r="AC171" s="1"/>
      <c r="AD171"/>
      <c r="AE171"/>
      <c r="AF171"/>
      <c r="AG171"/>
      <c r="AH171"/>
      <c r="AI171"/>
      <c r="AJ171"/>
      <c r="AK171"/>
      <c r="AL171"/>
      <c r="AM171" s="1"/>
      <c r="AW171" s="1"/>
      <c r="AX171"/>
      <c r="AY171"/>
      <c r="AZ171"/>
      <c r="BA171"/>
      <c r="BB171"/>
      <c r="BC171"/>
      <c r="BD171"/>
      <c r="BE171"/>
      <c r="BF171"/>
      <c r="BG171" s="1"/>
      <c r="BQ171" s="1"/>
      <c r="CA171" s="1"/>
      <c r="CK171" s="1"/>
      <c r="CU171" s="1"/>
      <c r="DE171" s="1"/>
      <c r="DO171" s="1"/>
    </row>
    <row r="172" spans="2:119" x14ac:dyDescent="0.2">
      <c r="B172" s="906"/>
      <c r="C172" s="775" t="s">
        <v>370</v>
      </c>
      <c r="D172" s="792">
        <f>SUM(D170*D171)</f>
        <v>0</v>
      </c>
      <c r="E172" s="749"/>
      <c r="I172" s="1"/>
      <c r="S172" s="1"/>
      <c r="AC172" s="1"/>
      <c r="AD172"/>
      <c r="AE172"/>
      <c r="AF172"/>
      <c r="AG172"/>
      <c r="AH172"/>
      <c r="AI172"/>
      <c r="AJ172"/>
      <c r="AK172"/>
      <c r="AL172"/>
      <c r="AM172" s="1"/>
      <c r="AW172" s="1"/>
      <c r="AX172"/>
      <c r="AY172"/>
      <c r="AZ172"/>
      <c r="BA172"/>
      <c r="BB172"/>
      <c r="BC172"/>
      <c r="BD172"/>
      <c r="BE172"/>
      <c r="BF172"/>
      <c r="BG172" s="1"/>
      <c r="BQ172" s="1"/>
      <c r="CA172" s="1"/>
      <c r="CK172" s="1"/>
      <c r="CU172" s="1"/>
      <c r="DE172" s="1"/>
      <c r="DO172" s="1"/>
    </row>
    <row r="173" spans="2:119" x14ac:dyDescent="0.2">
      <c r="B173" s="906"/>
      <c r="C173" s="775" t="s">
        <v>371</v>
      </c>
      <c r="D173" s="799">
        <v>0</v>
      </c>
      <c r="E173" s="749"/>
      <c r="I173" s="1"/>
      <c r="S173" s="1"/>
      <c r="AC173" s="1"/>
      <c r="AD173"/>
      <c r="AE173"/>
      <c r="AF173"/>
      <c r="AG173"/>
      <c r="AH173"/>
      <c r="AI173"/>
      <c r="AJ173"/>
      <c r="AK173"/>
      <c r="AL173"/>
      <c r="AM173" s="1"/>
      <c r="AW173" s="1"/>
      <c r="AX173"/>
      <c r="AY173"/>
      <c r="AZ173"/>
      <c r="BA173"/>
      <c r="BB173"/>
      <c r="BC173"/>
      <c r="BD173"/>
      <c r="BE173"/>
      <c r="BF173"/>
      <c r="BG173" s="1"/>
      <c r="BQ173" s="1"/>
      <c r="CA173" s="1"/>
      <c r="CK173" s="1"/>
      <c r="CU173" s="1"/>
      <c r="DE173" s="1"/>
      <c r="DO173" s="1"/>
    </row>
    <row r="174" spans="2:119" x14ac:dyDescent="0.2">
      <c r="B174" s="906"/>
      <c r="C174" s="775" t="s">
        <v>372</v>
      </c>
      <c r="D174" s="800">
        <v>40</v>
      </c>
      <c r="E174" s="749"/>
      <c r="I174" s="1"/>
      <c r="S174" s="1"/>
      <c r="AC174" s="1"/>
      <c r="AD174"/>
      <c r="AE174"/>
      <c r="AF174"/>
      <c r="AG174"/>
      <c r="AH174"/>
      <c r="AI174"/>
      <c r="AJ174"/>
      <c r="AK174"/>
      <c r="AL174"/>
      <c r="AM174" s="1"/>
      <c r="AW174" s="1"/>
      <c r="AX174"/>
      <c r="AY174"/>
      <c r="AZ174"/>
      <c r="BA174"/>
      <c r="BB174"/>
      <c r="BC174"/>
      <c r="BD174"/>
      <c r="BE174"/>
      <c r="BF174"/>
      <c r="BG174" s="1"/>
      <c r="BQ174" s="1"/>
      <c r="CA174" s="1"/>
      <c r="CK174" s="1"/>
      <c r="CU174" s="1"/>
      <c r="DE174" s="1"/>
      <c r="DO174" s="1"/>
    </row>
    <row r="175" spans="2:119" x14ac:dyDescent="0.2">
      <c r="B175" s="906"/>
      <c r="C175" s="775" t="s">
        <v>192</v>
      </c>
      <c r="D175" s="797">
        <v>10</v>
      </c>
      <c r="E175" s="750" t="s">
        <v>193</v>
      </c>
      <c r="I175" s="1"/>
      <c r="S175" s="1"/>
      <c r="AC175" s="1"/>
      <c r="AD175"/>
      <c r="AE175"/>
      <c r="AF175"/>
      <c r="AG175"/>
      <c r="AH175"/>
      <c r="AI175"/>
      <c r="AJ175"/>
      <c r="AK175"/>
      <c r="AL175"/>
      <c r="AM175" s="1"/>
      <c r="AW175" s="1"/>
      <c r="AX175"/>
      <c r="AY175"/>
      <c r="AZ175"/>
      <c r="BA175"/>
      <c r="BB175"/>
      <c r="BC175"/>
      <c r="BD175"/>
      <c r="BE175"/>
      <c r="BF175"/>
      <c r="BG175" s="1"/>
      <c r="BQ175" s="1"/>
      <c r="CA175" s="1"/>
      <c r="CK175" s="1"/>
      <c r="CU175" s="1"/>
      <c r="DE175" s="1"/>
      <c r="DO175" s="1"/>
    </row>
    <row r="176" spans="2:119" x14ac:dyDescent="0.2">
      <c r="B176" s="907"/>
      <c r="C176" s="776"/>
      <c r="D176" s="763"/>
      <c r="E176" s="754"/>
      <c r="I176" s="1"/>
      <c r="S176" s="1"/>
      <c r="AC176" s="1"/>
      <c r="AD176"/>
      <c r="AE176"/>
      <c r="AF176"/>
      <c r="AG176"/>
      <c r="AH176"/>
      <c r="AI176"/>
      <c r="AJ176"/>
      <c r="AK176"/>
      <c r="AL176"/>
      <c r="AM176" s="1"/>
      <c r="AW176" s="1"/>
      <c r="AX176"/>
      <c r="AY176"/>
      <c r="AZ176"/>
      <c r="BA176"/>
      <c r="BB176"/>
      <c r="BC176"/>
      <c r="BD176"/>
      <c r="BE176"/>
      <c r="BF176"/>
      <c r="BG176" s="1"/>
      <c r="BQ176" s="1"/>
      <c r="CA176" s="1"/>
      <c r="CK176" s="1"/>
      <c r="CU176" s="1"/>
      <c r="DE176" s="1"/>
      <c r="DO176" s="1"/>
    </row>
    <row r="177" spans="2:119" x14ac:dyDescent="0.2">
      <c r="B177" s="869"/>
      <c r="C177" s="869"/>
      <c r="D177" s="869"/>
      <c r="E177" s="869"/>
      <c r="I177" s="1"/>
      <c r="S177" s="1"/>
      <c r="AC177" s="1"/>
      <c r="AD177"/>
      <c r="AE177"/>
      <c r="AF177"/>
      <c r="AG177"/>
      <c r="AH177"/>
      <c r="AI177"/>
      <c r="AJ177"/>
      <c r="AK177"/>
      <c r="AL177"/>
      <c r="AM177" s="1"/>
      <c r="AW177" s="1"/>
      <c r="AX177"/>
      <c r="AY177"/>
      <c r="AZ177"/>
      <c r="BA177"/>
      <c r="BB177"/>
      <c r="BC177"/>
      <c r="BD177"/>
      <c r="BE177"/>
      <c r="BF177"/>
      <c r="BG177" s="1"/>
      <c r="BQ177" s="1"/>
      <c r="CA177" s="1"/>
      <c r="CK177" s="1"/>
      <c r="CU177" s="1"/>
      <c r="DE177" s="1"/>
      <c r="DO177" s="1"/>
    </row>
    <row r="178" spans="2:119" x14ac:dyDescent="0.2">
      <c r="B178" s="869"/>
      <c r="C178" s="869"/>
      <c r="D178" s="869"/>
      <c r="E178" s="869"/>
      <c r="I178" s="1"/>
      <c r="S178" s="1"/>
      <c r="AC178" s="1"/>
      <c r="AD178"/>
      <c r="AE178"/>
      <c r="AF178"/>
      <c r="AG178"/>
      <c r="AH178"/>
      <c r="AI178"/>
      <c r="AJ178"/>
      <c r="AK178"/>
      <c r="AL178"/>
      <c r="AM178" s="1"/>
      <c r="AW178" s="1"/>
      <c r="AX178"/>
      <c r="AY178"/>
      <c r="AZ178"/>
      <c r="BA178"/>
      <c r="BB178"/>
      <c r="BC178"/>
      <c r="BD178"/>
      <c r="BE178"/>
      <c r="BF178"/>
      <c r="BG178" s="1"/>
      <c r="BQ178" s="1"/>
      <c r="CA178" s="1"/>
      <c r="CK178" s="1"/>
      <c r="CU178" s="1"/>
      <c r="DE178" s="1"/>
      <c r="DO178" s="1"/>
    </row>
    <row r="179" spans="2:119" x14ac:dyDescent="0.2">
      <c r="B179" s="869"/>
      <c r="C179" s="869"/>
      <c r="D179" s="869"/>
      <c r="E179" s="869"/>
      <c r="I179" s="1"/>
      <c r="S179" s="1"/>
      <c r="AC179" s="1"/>
      <c r="AD179"/>
      <c r="AE179"/>
      <c r="AF179"/>
      <c r="AG179"/>
      <c r="AH179"/>
      <c r="AI179"/>
      <c r="AJ179"/>
      <c r="AK179"/>
      <c r="AL179"/>
      <c r="AM179" s="1"/>
      <c r="AW179" s="1"/>
      <c r="AX179"/>
      <c r="AY179"/>
      <c r="AZ179"/>
      <c r="BA179"/>
      <c r="BB179"/>
      <c r="BC179"/>
      <c r="BD179"/>
      <c r="BE179"/>
      <c r="BF179"/>
      <c r="BG179" s="1"/>
      <c r="BQ179" s="1"/>
      <c r="CA179" s="1"/>
      <c r="CK179" s="1"/>
      <c r="CU179" s="1"/>
      <c r="DE179" s="1"/>
      <c r="DO179" s="1"/>
    </row>
    <row r="180" spans="2:119" x14ac:dyDescent="0.2">
      <c r="B180" s="869"/>
      <c r="C180" s="869"/>
      <c r="D180" s="869"/>
      <c r="E180" s="869"/>
      <c r="I180" s="1"/>
      <c r="S180" s="1"/>
      <c r="AC180" s="1"/>
      <c r="AD180"/>
      <c r="AE180"/>
      <c r="AF180"/>
      <c r="AG180"/>
      <c r="AH180"/>
      <c r="AI180"/>
      <c r="AJ180"/>
      <c r="AK180"/>
      <c r="AL180"/>
      <c r="AM180" s="1"/>
      <c r="AW180" s="1"/>
      <c r="AX180"/>
      <c r="AY180"/>
      <c r="AZ180"/>
      <c r="BA180"/>
      <c r="BB180"/>
      <c r="BC180"/>
      <c r="BD180"/>
      <c r="BE180"/>
      <c r="BF180"/>
      <c r="BG180" s="1"/>
      <c r="BQ180" s="1"/>
      <c r="CA180" s="1"/>
      <c r="CK180" s="1"/>
      <c r="CU180" s="1"/>
      <c r="DE180" s="1"/>
      <c r="DO180" s="1"/>
    </row>
    <row r="181" spans="2:119" x14ac:dyDescent="0.2">
      <c r="B181" s="869"/>
      <c r="C181" s="869"/>
      <c r="D181" s="869"/>
      <c r="E181" s="869"/>
      <c r="I181" s="1"/>
      <c r="S181" s="1"/>
      <c r="AC181" s="1"/>
      <c r="AD181"/>
      <c r="AE181"/>
      <c r="AF181"/>
      <c r="AG181"/>
      <c r="AH181"/>
      <c r="AI181"/>
      <c r="AJ181"/>
      <c r="AK181"/>
      <c r="AL181"/>
      <c r="AM181" s="1"/>
      <c r="AW181" s="1"/>
      <c r="AX181"/>
      <c r="AY181"/>
      <c r="AZ181"/>
      <c r="BA181"/>
      <c r="BB181"/>
      <c r="BC181"/>
      <c r="BD181"/>
      <c r="BE181"/>
      <c r="BF181"/>
      <c r="BG181" s="1"/>
      <c r="BQ181" s="1"/>
      <c r="CA181" s="1"/>
      <c r="CK181" s="1"/>
      <c r="CU181" s="1"/>
      <c r="DE181" s="1"/>
      <c r="DO181" s="1"/>
    </row>
    <row r="182" spans="2:119" x14ac:dyDescent="0.2">
      <c r="B182" s="869"/>
      <c r="C182" s="869"/>
      <c r="D182" s="869"/>
      <c r="E182" s="869"/>
      <c r="I182" s="1"/>
      <c r="S182" s="1"/>
      <c r="AC182" s="1"/>
      <c r="AD182"/>
      <c r="AE182"/>
      <c r="AF182"/>
      <c r="AG182"/>
      <c r="AH182"/>
      <c r="AI182"/>
      <c r="AJ182"/>
      <c r="AK182"/>
      <c r="AL182"/>
      <c r="AM182" s="1"/>
      <c r="AW182" s="1"/>
      <c r="AX182"/>
      <c r="AY182"/>
      <c r="AZ182"/>
      <c r="BA182"/>
      <c r="BB182"/>
      <c r="BC182"/>
      <c r="BD182"/>
      <c r="BE182"/>
      <c r="BF182"/>
      <c r="BG182" s="1"/>
      <c r="BQ182" s="1"/>
      <c r="CA182" s="1"/>
      <c r="CK182" s="1"/>
      <c r="CU182" s="1"/>
      <c r="DE182" s="1"/>
      <c r="DO182" s="1"/>
    </row>
    <row r="183" spans="2:119" x14ac:dyDescent="0.2">
      <c r="B183" s="869"/>
      <c r="C183" s="869"/>
      <c r="D183" s="869"/>
      <c r="E183" s="869"/>
      <c r="I183" s="1"/>
      <c r="S183" s="1"/>
      <c r="AC183" s="1"/>
      <c r="AD183"/>
      <c r="AE183"/>
      <c r="AF183"/>
      <c r="AG183"/>
      <c r="AH183"/>
      <c r="AI183"/>
      <c r="AJ183"/>
      <c r="AK183"/>
      <c r="AL183"/>
      <c r="AM183" s="1"/>
      <c r="AW183" s="1"/>
      <c r="AX183"/>
      <c r="AY183"/>
      <c r="AZ183"/>
      <c r="BA183"/>
      <c r="BB183"/>
      <c r="BC183"/>
      <c r="BD183"/>
      <c r="BE183"/>
      <c r="BF183"/>
      <c r="BG183" s="1"/>
      <c r="BQ183" s="1"/>
      <c r="CA183" s="1"/>
      <c r="CK183" s="1"/>
      <c r="CU183" s="1"/>
      <c r="DE183" s="1"/>
      <c r="DO183" s="1"/>
    </row>
    <row r="184" spans="2:119" x14ac:dyDescent="0.2">
      <c r="B184" s="869"/>
      <c r="C184" s="869"/>
      <c r="D184" s="869"/>
      <c r="E184" s="869"/>
      <c r="I184" s="1"/>
      <c r="S184" s="1"/>
      <c r="AC184" s="1"/>
      <c r="AD184"/>
      <c r="AE184"/>
      <c r="AF184"/>
      <c r="AG184"/>
      <c r="AH184"/>
      <c r="AI184"/>
      <c r="AJ184"/>
      <c r="AK184"/>
      <c r="AL184"/>
      <c r="AM184" s="1"/>
      <c r="AW184" s="1"/>
      <c r="AX184"/>
      <c r="AY184"/>
      <c r="AZ184"/>
      <c r="BA184"/>
      <c r="BB184"/>
      <c r="BC184"/>
      <c r="BD184"/>
      <c r="BE184"/>
      <c r="BF184"/>
      <c r="BG184" s="1"/>
      <c r="BQ184" s="1"/>
      <c r="CA184" s="1"/>
      <c r="CK184" s="1"/>
      <c r="CU184" s="1"/>
      <c r="DE184" s="1"/>
      <c r="DO184" s="1"/>
    </row>
    <row r="185" spans="2:119" x14ac:dyDescent="0.2">
      <c r="B185" s="869"/>
      <c r="C185" s="869"/>
      <c r="D185" s="869"/>
      <c r="E185" s="869"/>
      <c r="I185" s="1"/>
      <c r="S185" s="1"/>
      <c r="AC185" s="1"/>
      <c r="AD185"/>
      <c r="AE185"/>
      <c r="AF185"/>
      <c r="AG185"/>
      <c r="AH185"/>
      <c r="AI185"/>
      <c r="AJ185"/>
      <c r="AK185"/>
      <c r="AL185"/>
      <c r="AM185" s="1"/>
      <c r="AW185" s="1"/>
      <c r="AX185"/>
      <c r="AY185"/>
      <c r="AZ185"/>
      <c r="BA185"/>
      <c r="BB185"/>
      <c r="BC185"/>
      <c r="BD185"/>
      <c r="BE185"/>
      <c r="BF185"/>
      <c r="BG185" s="1"/>
      <c r="BQ185" s="1"/>
      <c r="CA185" s="1"/>
      <c r="CK185" s="1"/>
      <c r="CU185" s="1"/>
      <c r="DE185" s="1"/>
      <c r="DO185" s="1"/>
    </row>
    <row r="186" spans="2:119" x14ac:dyDescent="0.2">
      <c r="B186" s="869"/>
      <c r="C186" s="869"/>
      <c r="D186" s="869"/>
      <c r="E186" s="869"/>
      <c r="I186" s="1"/>
      <c r="S186" s="1"/>
      <c r="AC186" s="1"/>
      <c r="AD186"/>
      <c r="AE186"/>
      <c r="AF186"/>
      <c r="AG186"/>
      <c r="AH186"/>
      <c r="AI186"/>
      <c r="AJ186"/>
      <c r="AK186"/>
      <c r="AL186"/>
      <c r="AM186" s="1"/>
      <c r="AW186" s="1"/>
      <c r="AX186"/>
      <c r="AY186"/>
      <c r="AZ186"/>
      <c r="BA186"/>
      <c r="BB186"/>
      <c r="BC186"/>
      <c r="BD186"/>
      <c r="BE186"/>
      <c r="BF186"/>
      <c r="BG186" s="1"/>
      <c r="BQ186" s="1"/>
      <c r="CA186" s="1"/>
      <c r="CK186" s="1"/>
      <c r="CU186" s="1"/>
      <c r="DE186" s="1"/>
      <c r="DO186" s="1"/>
    </row>
    <row r="187" spans="2:119" x14ac:dyDescent="0.2">
      <c r="B187" s="869"/>
      <c r="C187" s="869"/>
      <c r="D187" s="869"/>
      <c r="E187" s="869"/>
      <c r="I187" s="1"/>
      <c r="S187" s="1"/>
      <c r="AC187" s="1"/>
      <c r="AD187"/>
      <c r="AE187"/>
      <c r="AF187"/>
      <c r="AG187"/>
      <c r="AH187"/>
      <c r="AI187"/>
      <c r="AJ187"/>
      <c r="AK187"/>
      <c r="AL187"/>
      <c r="AM187" s="1"/>
      <c r="AW187" s="1"/>
      <c r="AX187"/>
      <c r="AY187"/>
      <c r="AZ187"/>
      <c r="BA187"/>
      <c r="BB187"/>
      <c r="BC187"/>
      <c r="BD187"/>
      <c r="BE187"/>
      <c r="BF187"/>
      <c r="BG187" s="1"/>
      <c r="BQ187" s="1"/>
      <c r="CA187" s="1"/>
      <c r="CK187" s="1"/>
      <c r="CU187" s="1"/>
      <c r="DE187" s="1"/>
      <c r="DO187" s="1"/>
    </row>
    <row r="188" spans="2:119" x14ac:dyDescent="0.2">
      <c r="B188" s="869"/>
      <c r="C188" s="869"/>
      <c r="D188" s="869"/>
      <c r="E188" s="869"/>
      <c r="I188" s="1"/>
      <c r="S188" s="1"/>
      <c r="AC188" s="1"/>
      <c r="AD188"/>
      <c r="AE188"/>
      <c r="AF188"/>
      <c r="AG188"/>
      <c r="AH188"/>
      <c r="AI188"/>
      <c r="AJ188"/>
      <c r="AK188"/>
      <c r="AL188"/>
      <c r="AM188" s="1"/>
      <c r="AW188" s="1"/>
      <c r="AX188"/>
      <c r="AY188"/>
      <c r="AZ188"/>
      <c r="BA188"/>
      <c r="BB188"/>
      <c r="BC188"/>
      <c r="BD188"/>
      <c r="BE188"/>
      <c r="BF188"/>
      <c r="BG188" s="1"/>
      <c r="BQ188" s="1"/>
      <c r="CA188" s="1"/>
      <c r="CK188" s="1"/>
      <c r="CU188" s="1"/>
      <c r="DE188" s="1"/>
      <c r="DO188" s="1"/>
    </row>
    <row r="189" spans="2:119" x14ac:dyDescent="0.2">
      <c r="B189" s="869"/>
      <c r="C189" s="869"/>
      <c r="D189" s="869"/>
      <c r="E189" s="869"/>
      <c r="I189" s="1"/>
      <c r="S189" s="1"/>
      <c r="AC189" s="1"/>
      <c r="AD189"/>
      <c r="AE189"/>
      <c r="AF189"/>
      <c r="AG189"/>
      <c r="AH189"/>
      <c r="AI189"/>
      <c r="AJ189"/>
      <c r="AK189"/>
      <c r="AL189"/>
      <c r="AM189" s="1"/>
      <c r="AW189" s="1"/>
      <c r="AX189"/>
      <c r="AY189"/>
      <c r="AZ189"/>
      <c r="BA189"/>
      <c r="BB189"/>
      <c r="BC189"/>
      <c r="BD189"/>
      <c r="BE189"/>
      <c r="BF189"/>
      <c r="BG189" s="1"/>
      <c r="BQ189" s="1"/>
      <c r="CA189" s="1"/>
      <c r="CK189" s="1"/>
      <c r="CU189" s="1"/>
      <c r="DE189" s="1"/>
      <c r="DO189" s="1"/>
    </row>
    <row r="190" spans="2:119" x14ac:dyDescent="0.2">
      <c r="B190" s="869"/>
      <c r="C190" s="869"/>
      <c r="D190" s="869"/>
      <c r="E190" s="869"/>
      <c r="I190" s="1"/>
      <c r="S190" s="1"/>
      <c r="AC190" s="1"/>
      <c r="AD190"/>
      <c r="AE190"/>
      <c r="AF190"/>
      <c r="AG190"/>
      <c r="AH190"/>
      <c r="AI190"/>
      <c r="AJ190"/>
      <c r="AK190"/>
      <c r="AL190"/>
      <c r="AM190" s="1"/>
      <c r="AW190" s="1"/>
      <c r="AX190"/>
      <c r="AY190"/>
      <c r="AZ190"/>
      <c r="BA190"/>
      <c r="BB190"/>
      <c r="BC190"/>
      <c r="BD190"/>
      <c r="BE190"/>
      <c r="BF190"/>
      <c r="BG190" s="1"/>
      <c r="BQ190" s="1"/>
      <c r="CA190" s="1"/>
      <c r="CK190" s="1"/>
      <c r="CU190" s="1"/>
      <c r="DE190" s="1"/>
      <c r="DO190" s="1"/>
    </row>
    <row r="191" spans="2:119" x14ac:dyDescent="0.2">
      <c r="B191" s="869"/>
      <c r="C191" s="869"/>
      <c r="D191" s="869"/>
      <c r="E191" s="869"/>
      <c r="I191" s="1"/>
      <c r="S191" s="1"/>
      <c r="AC191" s="1"/>
      <c r="AD191"/>
      <c r="AE191"/>
      <c r="AF191"/>
      <c r="AG191"/>
      <c r="AH191"/>
      <c r="AI191"/>
      <c r="AJ191"/>
      <c r="AK191"/>
      <c r="AL191"/>
      <c r="AM191" s="1"/>
      <c r="AW191" s="1"/>
      <c r="AX191"/>
      <c r="AY191"/>
      <c r="AZ191"/>
      <c r="BA191"/>
      <c r="BB191"/>
      <c r="BC191"/>
      <c r="BD191"/>
      <c r="BE191"/>
      <c r="BF191"/>
      <c r="BG191" s="1"/>
      <c r="BQ191" s="1"/>
      <c r="CA191" s="1"/>
      <c r="CK191" s="1"/>
      <c r="CU191" s="1"/>
      <c r="DE191" s="1"/>
      <c r="DO191" s="1"/>
    </row>
    <row r="192" spans="2:119" x14ac:dyDescent="0.2">
      <c r="B192" s="869"/>
      <c r="C192" s="869"/>
      <c r="D192" s="869"/>
      <c r="E192" s="869"/>
      <c r="I192" s="1"/>
      <c r="S192" s="1"/>
      <c r="AC192" s="1"/>
      <c r="AD192"/>
      <c r="AE192"/>
      <c r="AF192"/>
      <c r="AG192"/>
      <c r="AH192"/>
      <c r="AI192"/>
      <c r="AJ192"/>
      <c r="AK192"/>
      <c r="AL192"/>
      <c r="AM192" s="1"/>
      <c r="AW192" s="1"/>
      <c r="AX192"/>
      <c r="AY192"/>
      <c r="AZ192"/>
      <c r="BA192"/>
      <c r="BB192"/>
      <c r="BC192"/>
      <c r="BD192"/>
      <c r="BE192"/>
      <c r="BF192"/>
      <c r="BG192" s="1"/>
      <c r="BQ192" s="1"/>
      <c r="CA192" s="1"/>
      <c r="CK192" s="1"/>
      <c r="CU192" s="1"/>
      <c r="DE192" s="1"/>
      <c r="DO192" s="1"/>
    </row>
    <row r="193" spans="2:119" x14ac:dyDescent="0.2">
      <c r="B193" s="869"/>
      <c r="C193" s="869"/>
      <c r="D193" s="869"/>
      <c r="E193" s="869"/>
      <c r="I193" s="1"/>
      <c r="S193" s="1"/>
      <c r="AC193" s="1"/>
      <c r="AD193"/>
      <c r="AE193"/>
      <c r="AF193"/>
      <c r="AG193"/>
      <c r="AH193"/>
      <c r="AI193"/>
      <c r="AJ193"/>
      <c r="AK193"/>
      <c r="AL193"/>
      <c r="AM193" s="1"/>
      <c r="AW193" s="1"/>
      <c r="AX193"/>
      <c r="AY193"/>
      <c r="AZ193"/>
      <c r="BA193"/>
      <c r="BB193"/>
      <c r="BC193"/>
      <c r="BD193"/>
      <c r="BE193"/>
      <c r="BF193"/>
      <c r="BG193" s="1"/>
      <c r="BQ193" s="1"/>
      <c r="CA193" s="1"/>
      <c r="CK193" s="1"/>
      <c r="CU193" s="1"/>
      <c r="DE193" s="1"/>
      <c r="DO193" s="1"/>
    </row>
    <row r="194" spans="2:119" x14ac:dyDescent="0.2">
      <c r="B194" s="869"/>
      <c r="C194" s="869"/>
      <c r="D194" s="869"/>
      <c r="E194" s="869"/>
      <c r="I194" s="1"/>
      <c r="S194" s="1"/>
      <c r="AC194" s="1"/>
      <c r="AD194"/>
      <c r="AE194"/>
      <c r="AF194"/>
      <c r="AG194"/>
      <c r="AH194"/>
      <c r="AI194"/>
      <c r="AJ194"/>
      <c r="AK194"/>
      <c r="AL194"/>
      <c r="AM194" s="1"/>
      <c r="AW194" s="1"/>
      <c r="AX194"/>
      <c r="AY194"/>
      <c r="AZ194"/>
      <c r="BA194"/>
      <c r="BB194"/>
      <c r="BC194"/>
      <c r="BD194"/>
      <c r="BE194"/>
      <c r="BF194"/>
      <c r="BG194" s="1"/>
      <c r="BQ194" s="1"/>
      <c r="CA194" s="1"/>
      <c r="CK194" s="1"/>
      <c r="CU194" s="1"/>
      <c r="DE194" s="1"/>
      <c r="DO194" s="1"/>
    </row>
    <row r="195" spans="2:119" x14ac:dyDescent="0.2">
      <c r="B195" s="869"/>
      <c r="C195" s="869"/>
      <c r="D195" s="869"/>
      <c r="E195" s="869"/>
      <c r="I195" s="1"/>
      <c r="S195" s="1"/>
      <c r="AC195" s="1"/>
      <c r="AD195"/>
      <c r="AE195"/>
      <c r="AF195"/>
      <c r="AG195"/>
      <c r="AH195"/>
      <c r="AI195"/>
      <c r="AJ195"/>
      <c r="AK195"/>
      <c r="AL195"/>
      <c r="AM195" s="1"/>
      <c r="AW195" s="1"/>
      <c r="AX195"/>
      <c r="AY195"/>
      <c r="AZ195"/>
      <c r="BA195"/>
      <c r="BB195"/>
      <c r="BC195"/>
      <c r="BD195"/>
      <c r="BE195"/>
      <c r="BF195"/>
      <c r="BG195" s="1"/>
      <c r="BQ195" s="1"/>
      <c r="CA195" s="1"/>
      <c r="CK195" s="1"/>
      <c r="CU195" s="1"/>
      <c r="DE195" s="1"/>
      <c r="DO195" s="1"/>
    </row>
    <row r="196" spans="2:119" x14ac:dyDescent="0.2">
      <c r="B196" s="869"/>
      <c r="C196" s="869"/>
      <c r="D196" s="869"/>
      <c r="E196" s="869"/>
      <c r="I196" s="1"/>
      <c r="S196" s="1"/>
      <c r="AC196" s="1"/>
      <c r="AD196"/>
      <c r="AE196"/>
      <c r="AF196"/>
      <c r="AG196"/>
      <c r="AH196"/>
      <c r="AI196"/>
      <c r="AJ196"/>
      <c r="AK196"/>
      <c r="AL196"/>
      <c r="AM196" s="1"/>
      <c r="AW196" s="1"/>
      <c r="AX196"/>
      <c r="AY196"/>
      <c r="AZ196"/>
      <c r="BA196"/>
      <c r="BB196"/>
      <c r="BC196"/>
      <c r="BD196"/>
      <c r="BE196"/>
      <c r="BF196"/>
      <c r="BG196" s="1"/>
      <c r="BQ196" s="1"/>
      <c r="CA196" s="1"/>
      <c r="CK196" s="1"/>
      <c r="CU196" s="1"/>
      <c r="DE196" s="1"/>
      <c r="DO196" s="1"/>
    </row>
    <row r="197" spans="2:119" x14ac:dyDescent="0.2">
      <c r="B197" s="869"/>
      <c r="C197" s="869"/>
      <c r="D197" s="869"/>
      <c r="E197" s="869"/>
      <c r="I197" s="1"/>
      <c r="S197" s="1"/>
      <c r="AC197" s="1"/>
      <c r="AD197"/>
      <c r="AE197"/>
      <c r="AF197"/>
      <c r="AG197"/>
      <c r="AH197"/>
      <c r="AI197"/>
      <c r="AJ197"/>
      <c r="AK197"/>
      <c r="AL197"/>
      <c r="AM197" s="1"/>
      <c r="AW197" s="1"/>
      <c r="AX197"/>
      <c r="AY197"/>
      <c r="AZ197"/>
      <c r="BA197"/>
      <c r="BB197"/>
      <c r="BC197"/>
      <c r="BD197"/>
      <c r="BE197"/>
      <c r="BF197"/>
      <c r="BG197" s="1"/>
      <c r="BQ197" s="1"/>
      <c r="CA197" s="1"/>
      <c r="CK197" s="1"/>
      <c r="CU197" s="1"/>
      <c r="DE197" s="1"/>
      <c r="DO197" s="1"/>
    </row>
    <row r="198" spans="2:119" x14ac:dyDescent="0.2">
      <c r="B198" s="869"/>
      <c r="C198" s="869"/>
      <c r="D198" s="869"/>
      <c r="E198" s="869"/>
      <c r="I198" s="1"/>
      <c r="S198" s="1"/>
      <c r="AC198" s="1"/>
      <c r="AD198"/>
      <c r="AE198"/>
      <c r="AF198"/>
      <c r="AG198"/>
      <c r="AH198"/>
      <c r="AI198"/>
      <c r="AJ198"/>
      <c r="AK198"/>
      <c r="AL198"/>
      <c r="AM198" s="1"/>
      <c r="AW198" s="1"/>
      <c r="AX198"/>
      <c r="AY198"/>
      <c r="AZ198"/>
      <c r="BA198"/>
      <c r="BB198"/>
      <c r="BC198"/>
      <c r="BD198"/>
      <c r="BE198"/>
      <c r="BF198"/>
      <c r="BG198" s="1"/>
      <c r="BQ198" s="1"/>
      <c r="CA198" s="1"/>
      <c r="CK198" s="1"/>
      <c r="CU198" s="1"/>
      <c r="DE198" s="1"/>
      <c r="DO198" s="1"/>
    </row>
    <row r="199" spans="2:119" x14ac:dyDescent="0.2">
      <c r="B199" s="869"/>
      <c r="C199" s="869"/>
      <c r="D199" s="869"/>
      <c r="E199" s="869"/>
      <c r="I199" s="1"/>
      <c r="S199" s="1"/>
      <c r="AC199" s="1"/>
      <c r="AD199"/>
      <c r="AE199"/>
      <c r="AF199"/>
      <c r="AG199"/>
      <c r="AH199"/>
      <c r="AI199"/>
      <c r="AJ199"/>
      <c r="AK199"/>
      <c r="AL199"/>
      <c r="AM199" s="1"/>
      <c r="AW199" s="1"/>
      <c r="AX199"/>
      <c r="AY199"/>
      <c r="AZ199"/>
      <c r="BA199"/>
      <c r="BB199"/>
      <c r="BC199"/>
      <c r="BD199"/>
      <c r="BE199"/>
      <c r="BF199"/>
      <c r="BG199" s="1"/>
      <c r="BQ199" s="1"/>
      <c r="CA199" s="1"/>
      <c r="CK199" s="1"/>
      <c r="CU199" s="1"/>
      <c r="DE199" s="1"/>
      <c r="DO199" s="1"/>
    </row>
    <row r="200" spans="2:119" x14ac:dyDescent="0.2">
      <c r="B200" s="869"/>
      <c r="C200" s="869"/>
      <c r="D200" s="869"/>
      <c r="E200" s="869"/>
      <c r="I200" s="1"/>
      <c r="S200" s="1"/>
      <c r="AC200" s="1"/>
      <c r="AD200"/>
      <c r="AE200"/>
      <c r="AF200"/>
      <c r="AG200"/>
      <c r="AH200"/>
      <c r="AI200"/>
      <c r="AJ200"/>
      <c r="AK200"/>
      <c r="AL200"/>
      <c r="AM200" s="1"/>
      <c r="AW200" s="1"/>
      <c r="AX200"/>
      <c r="AY200"/>
      <c r="AZ200"/>
      <c r="BA200"/>
      <c r="BB200"/>
      <c r="BC200"/>
      <c r="BD200"/>
      <c r="BE200"/>
      <c r="BF200"/>
      <c r="BG200" s="1"/>
      <c r="BQ200" s="1"/>
      <c r="CA200" s="1"/>
      <c r="CK200" s="1"/>
      <c r="CU200" s="1"/>
      <c r="DE200" s="1"/>
      <c r="DO200" s="1"/>
    </row>
    <row r="201" spans="2:119" x14ac:dyDescent="0.2">
      <c r="B201" s="869"/>
      <c r="C201" s="869"/>
      <c r="D201" s="869"/>
      <c r="E201" s="869"/>
      <c r="I201" s="1"/>
      <c r="S201" s="1"/>
      <c r="AC201" s="1"/>
      <c r="AD201"/>
      <c r="AE201"/>
      <c r="AF201"/>
      <c r="AG201"/>
      <c r="AH201"/>
      <c r="AI201"/>
      <c r="AJ201"/>
      <c r="AK201"/>
      <c r="AL201"/>
      <c r="AM201" s="1"/>
      <c r="AW201" s="1"/>
      <c r="AX201"/>
      <c r="AY201"/>
      <c r="AZ201"/>
      <c r="BA201"/>
      <c r="BB201"/>
      <c r="BC201"/>
      <c r="BD201"/>
      <c r="BE201"/>
      <c r="BF201"/>
      <c r="BG201" s="1"/>
      <c r="BQ201" s="1"/>
      <c r="CA201" s="1"/>
      <c r="CK201" s="1"/>
      <c r="CU201" s="1"/>
      <c r="DE201" s="1"/>
      <c r="DO201" s="1"/>
    </row>
    <row r="202" spans="2:119" x14ac:dyDescent="0.2">
      <c r="B202" s="869"/>
      <c r="C202" s="869"/>
      <c r="D202" s="869"/>
      <c r="E202" s="869"/>
      <c r="I202" s="1"/>
      <c r="S202" s="1"/>
      <c r="AC202" s="1"/>
      <c r="AD202"/>
      <c r="AE202"/>
      <c r="AF202"/>
      <c r="AG202"/>
      <c r="AH202"/>
      <c r="AI202"/>
      <c r="AJ202"/>
      <c r="AK202"/>
      <c r="AL202"/>
      <c r="AM202" s="1"/>
      <c r="AW202" s="1"/>
      <c r="AX202"/>
      <c r="AY202"/>
      <c r="AZ202"/>
      <c r="BA202"/>
      <c r="BB202"/>
      <c r="BC202"/>
      <c r="BD202"/>
      <c r="BE202"/>
      <c r="BF202"/>
      <c r="BG202" s="1"/>
      <c r="BQ202" s="1"/>
      <c r="CA202" s="1"/>
      <c r="CK202" s="1"/>
      <c r="CU202" s="1"/>
      <c r="DE202" s="1"/>
      <c r="DO202" s="1"/>
    </row>
    <row r="203" spans="2:119" x14ac:dyDescent="0.2">
      <c r="B203" s="869"/>
      <c r="C203" s="869"/>
      <c r="D203" s="869"/>
      <c r="E203" s="869"/>
      <c r="I203" s="1"/>
      <c r="S203" s="1"/>
      <c r="AC203" s="1"/>
      <c r="AD203"/>
      <c r="AE203"/>
      <c r="AF203"/>
      <c r="AG203"/>
      <c r="AH203"/>
      <c r="AI203"/>
      <c r="AJ203"/>
      <c r="AK203"/>
      <c r="AL203"/>
      <c r="AM203" s="1"/>
      <c r="AW203" s="1"/>
      <c r="AX203"/>
      <c r="AY203"/>
      <c r="AZ203"/>
      <c r="BA203"/>
      <c r="BB203"/>
      <c r="BC203"/>
      <c r="BD203"/>
      <c r="BE203"/>
      <c r="BF203"/>
      <c r="BG203" s="1"/>
      <c r="BQ203" s="1"/>
      <c r="CA203" s="1"/>
      <c r="CK203" s="1"/>
      <c r="CU203" s="1"/>
      <c r="DE203" s="1"/>
      <c r="DO203" s="1"/>
    </row>
    <row r="204" spans="2:119" x14ac:dyDescent="0.2">
      <c r="B204" s="869"/>
      <c r="C204" s="869"/>
      <c r="D204" s="869"/>
      <c r="E204" s="869"/>
      <c r="I204" s="1"/>
      <c r="S204" s="1"/>
      <c r="AC204" s="1"/>
      <c r="AD204"/>
      <c r="AE204"/>
      <c r="AF204"/>
      <c r="AG204"/>
      <c r="AH204"/>
      <c r="AI204"/>
      <c r="AJ204"/>
      <c r="AK204"/>
      <c r="AL204"/>
      <c r="AM204" s="1"/>
      <c r="AW204" s="1"/>
      <c r="AX204"/>
      <c r="AY204"/>
      <c r="AZ204"/>
      <c r="BA204"/>
      <c r="BB204"/>
      <c r="BC204"/>
      <c r="BD204"/>
      <c r="BE204"/>
      <c r="BF204"/>
      <c r="BG204" s="1"/>
      <c r="BQ204" s="1"/>
      <c r="CA204" s="1"/>
      <c r="CK204" s="1"/>
      <c r="CU204" s="1"/>
      <c r="DE204" s="1"/>
      <c r="DO204" s="1"/>
    </row>
    <row r="205" spans="2:119" x14ac:dyDescent="0.2">
      <c r="B205" s="869"/>
      <c r="C205" s="869"/>
      <c r="D205" s="869"/>
      <c r="E205" s="869"/>
      <c r="I205" s="1"/>
      <c r="S205" s="1"/>
      <c r="AC205" s="1"/>
      <c r="AD205"/>
      <c r="AE205"/>
      <c r="AF205"/>
      <c r="AG205"/>
      <c r="AH205"/>
      <c r="AI205"/>
      <c r="AJ205"/>
      <c r="AK205"/>
      <c r="AL205"/>
      <c r="AM205" s="1"/>
      <c r="AW205" s="1"/>
      <c r="AX205"/>
      <c r="AY205"/>
      <c r="AZ205"/>
      <c r="BA205"/>
      <c r="BB205"/>
      <c r="BC205"/>
      <c r="BD205"/>
      <c r="BE205"/>
      <c r="BF205"/>
      <c r="BG205" s="1"/>
      <c r="BQ205" s="1"/>
      <c r="CA205" s="1"/>
      <c r="CK205" s="1"/>
      <c r="CU205" s="1"/>
      <c r="DE205" s="1"/>
      <c r="DO205" s="1"/>
    </row>
    <row r="206" spans="2:119" x14ac:dyDescent="0.2">
      <c r="B206" s="869"/>
      <c r="C206" s="869"/>
      <c r="D206" s="869"/>
      <c r="E206" s="869"/>
      <c r="I206" s="1"/>
      <c r="S206" s="1"/>
      <c r="AC206" s="1"/>
      <c r="AD206"/>
      <c r="AE206"/>
      <c r="AF206"/>
      <c r="AG206"/>
      <c r="AH206"/>
      <c r="AI206"/>
      <c r="AJ206"/>
      <c r="AK206"/>
      <c r="AL206"/>
      <c r="AM206" s="1"/>
      <c r="AW206" s="1"/>
      <c r="AX206"/>
      <c r="AY206"/>
      <c r="AZ206"/>
      <c r="BA206"/>
      <c r="BB206"/>
      <c r="BC206"/>
      <c r="BD206"/>
      <c r="BE206"/>
      <c r="BF206"/>
      <c r="BG206" s="1"/>
      <c r="BQ206" s="1"/>
      <c r="CA206" s="1"/>
      <c r="CK206" s="1"/>
      <c r="CU206" s="1"/>
      <c r="DE206" s="1"/>
      <c r="DO206" s="1"/>
    </row>
    <row r="207" spans="2:119" x14ac:dyDescent="0.2">
      <c r="B207" s="869"/>
      <c r="C207" s="869"/>
      <c r="D207" s="869"/>
      <c r="E207" s="869"/>
      <c r="S207" s="1"/>
      <c r="AC207" s="1"/>
      <c r="AD207"/>
      <c r="AE207"/>
      <c r="AF207"/>
      <c r="AG207"/>
      <c r="AH207"/>
      <c r="AI207"/>
      <c r="AJ207"/>
      <c r="AK207"/>
      <c r="AL207"/>
      <c r="AM207" s="1"/>
      <c r="AW207" s="1"/>
      <c r="AX207"/>
      <c r="AY207"/>
      <c r="AZ207"/>
      <c r="BA207"/>
      <c r="BB207"/>
      <c r="BC207"/>
      <c r="BD207"/>
      <c r="BE207"/>
      <c r="BF207"/>
      <c r="BG207" s="1"/>
      <c r="BQ207" s="1"/>
      <c r="CA207" s="1"/>
      <c r="CK207" s="1"/>
      <c r="CU207" s="1"/>
      <c r="DE207" s="1"/>
      <c r="DO207" s="1"/>
    </row>
    <row r="208" spans="2:119" x14ac:dyDescent="0.2">
      <c r="B208" s="869"/>
      <c r="C208" s="869"/>
      <c r="D208" s="869"/>
      <c r="E208" s="869"/>
      <c r="S208" s="1"/>
      <c r="AC208" s="1"/>
      <c r="AD208"/>
      <c r="AE208"/>
      <c r="AF208"/>
      <c r="AG208"/>
      <c r="AH208"/>
      <c r="AI208"/>
      <c r="AJ208"/>
      <c r="AK208"/>
      <c r="AL208"/>
      <c r="AM208" s="1"/>
      <c r="AW208" s="1"/>
      <c r="AX208"/>
      <c r="AY208"/>
      <c r="AZ208"/>
      <c r="BA208"/>
      <c r="BB208"/>
      <c r="BC208"/>
      <c r="BD208"/>
      <c r="BE208"/>
      <c r="BF208"/>
      <c r="BG208" s="1"/>
      <c r="BQ208" s="1"/>
      <c r="CA208" s="1"/>
      <c r="CK208" s="1"/>
      <c r="CU208" s="1"/>
      <c r="DE208" s="1"/>
      <c r="DO208" s="1"/>
    </row>
    <row r="209" spans="2:58" x14ac:dyDescent="0.2">
      <c r="B209" s="869"/>
      <c r="C209" s="869"/>
      <c r="D209" s="869"/>
      <c r="E209" s="869"/>
      <c r="AD209"/>
      <c r="AE209"/>
      <c r="AF209"/>
      <c r="AG209"/>
      <c r="AH209"/>
      <c r="AI209"/>
      <c r="AJ209"/>
      <c r="AK209"/>
      <c r="AL209"/>
      <c r="AX209"/>
      <c r="AY209"/>
      <c r="AZ209"/>
      <c r="BA209"/>
      <c r="BB209"/>
      <c r="BC209"/>
      <c r="BD209"/>
      <c r="BE209"/>
      <c r="BF209"/>
    </row>
    <row r="210" spans="2:58" x14ac:dyDescent="0.2">
      <c r="B210" s="869"/>
      <c r="C210" s="869"/>
      <c r="D210" s="869"/>
      <c r="E210" s="869"/>
      <c r="AD210"/>
      <c r="AE210"/>
      <c r="AF210"/>
      <c r="AG210"/>
      <c r="AH210"/>
      <c r="AI210"/>
      <c r="AJ210"/>
      <c r="AK210"/>
      <c r="AL210"/>
      <c r="AX210"/>
      <c r="AY210"/>
      <c r="AZ210"/>
      <c r="BA210"/>
      <c r="BB210"/>
      <c r="BC210"/>
      <c r="BD210"/>
      <c r="BE210"/>
      <c r="BF210"/>
    </row>
    <row r="211" spans="2:58" x14ac:dyDescent="0.2">
      <c r="B211" s="869"/>
      <c r="C211" s="869"/>
      <c r="D211" s="869"/>
      <c r="E211" s="869"/>
      <c r="AD211"/>
      <c r="AE211"/>
      <c r="AF211"/>
      <c r="AG211"/>
      <c r="AH211"/>
      <c r="AI211"/>
      <c r="AJ211"/>
      <c r="AK211"/>
      <c r="AL211"/>
      <c r="AX211"/>
      <c r="AY211"/>
      <c r="AZ211"/>
      <c r="BA211"/>
      <c r="BB211"/>
      <c r="BC211"/>
      <c r="BD211"/>
      <c r="BE211"/>
      <c r="BF211"/>
    </row>
    <row r="212" spans="2:58" x14ac:dyDescent="0.2">
      <c r="B212" s="869"/>
      <c r="C212" s="869"/>
      <c r="D212" s="869"/>
      <c r="E212" s="869"/>
      <c r="AD212"/>
      <c r="AE212"/>
      <c r="AF212"/>
      <c r="AG212"/>
      <c r="AH212"/>
      <c r="AI212"/>
      <c r="AJ212"/>
      <c r="AK212"/>
      <c r="AL212"/>
      <c r="AX212"/>
      <c r="AY212"/>
      <c r="AZ212"/>
      <c r="BA212"/>
      <c r="BB212"/>
      <c r="BC212"/>
      <c r="BD212"/>
      <c r="BE212"/>
      <c r="BF212"/>
    </row>
    <row r="213" spans="2:58" x14ac:dyDescent="0.2">
      <c r="B213" s="869"/>
      <c r="C213" s="869"/>
      <c r="D213" s="869"/>
      <c r="E213" s="869"/>
      <c r="AD213"/>
      <c r="AE213"/>
      <c r="AF213"/>
      <c r="AG213"/>
      <c r="AH213"/>
      <c r="AI213"/>
      <c r="AJ213"/>
      <c r="AK213"/>
      <c r="AL213"/>
      <c r="AX213"/>
      <c r="AY213"/>
      <c r="AZ213"/>
      <c r="BA213"/>
      <c r="BB213"/>
      <c r="BC213"/>
      <c r="BD213"/>
      <c r="BE213"/>
      <c r="BF213"/>
    </row>
    <row r="214" spans="2:58" x14ac:dyDescent="0.2">
      <c r="B214" s="869"/>
      <c r="C214" s="869"/>
      <c r="D214" s="869"/>
      <c r="E214" s="869"/>
      <c r="AD214"/>
      <c r="AE214"/>
      <c r="AF214"/>
      <c r="AG214"/>
      <c r="AH214"/>
      <c r="AI214"/>
      <c r="AJ214"/>
      <c r="AK214"/>
      <c r="AL214"/>
      <c r="AX214"/>
      <c r="AY214"/>
      <c r="AZ214"/>
      <c r="BA214"/>
      <c r="BB214"/>
      <c r="BC214"/>
      <c r="BD214"/>
      <c r="BE214"/>
      <c r="BF214"/>
    </row>
    <row r="215" spans="2:58" x14ac:dyDescent="0.2">
      <c r="B215" s="869"/>
      <c r="C215" s="869"/>
      <c r="D215" s="869"/>
      <c r="E215" s="869"/>
      <c r="AD215"/>
      <c r="AE215"/>
      <c r="AF215"/>
      <c r="AG215"/>
      <c r="AH215"/>
      <c r="AI215"/>
      <c r="AJ215"/>
      <c r="AK215"/>
      <c r="AL215"/>
      <c r="AX215"/>
      <c r="AY215"/>
      <c r="AZ215"/>
      <c r="BA215"/>
      <c r="BB215"/>
      <c r="BC215"/>
      <c r="BD215"/>
      <c r="BE215"/>
      <c r="BF215"/>
    </row>
    <row r="216" spans="2:58" x14ac:dyDescent="0.2">
      <c r="B216" s="869"/>
      <c r="C216" s="869"/>
      <c r="D216" s="869"/>
      <c r="E216" s="869"/>
      <c r="AD216"/>
      <c r="AE216"/>
      <c r="AF216"/>
      <c r="AG216"/>
      <c r="AH216"/>
      <c r="AI216"/>
      <c r="AJ216"/>
      <c r="AK216"/>
      <c r="AL216"/>
      <c r="AX216"/>
      <c r="AY216"/>
      <c r="AZ216"/>
      <c r="BA216"/>
      <c r="BB216"/>
      <c r="BC216"/>
      <c r="BD216"/>
      <c r="BE216"/>
      <c r="BF216"/>
    </row>
    <row r="217" spans="2:58" x14ac:dyDescent="0.2">
      <c r="B217" s="869"/>
      <c r="C217" s="869"/>
      <c r="D217" s="869"/>
      <c r="E217" s="869"/>
      <c r="AD217"/>
      <c r="AE217"/>
      <c r="AF217"/>
      <c r="AG217"/>
      <c r="AH217"/>
      <c r="AI217"/>
      <c r="AJ217"/>
      <c r="AK217"/>
      <c r="AL217"/>
      <c r="AX217"/>
      <c r="AY217"/>
      <c r="AZ217"/>
      <c r="BA217"/>
      <c r="BB217"/>
      <c r="BC217"/>
      <c r="BD217"/>
      <c r="BE217"/>
      <c r="BF217"/>
    </row>
    <row r="218" spans="2:58" x14ac:dyDescent="0.2">
      <c r="B218" s="869"/>
      <c r="C218" s="869"/>
      <c r="D218" s="869"/>
      <c r="E218" s="869"/>
      <c r="AD218"/>
      <c r="AE218"/>
      <c r="AF218"/>
      <c r="AG218"/>
      <c r="AH218"/>
      <c r="AI218"/>
      <c r="AJ218"/>
      <c r="AK218"/>
      <c r="AL218"/>
      <c r="AX218"/>
      <c r="AY218"/>
      <c r="AZ218"/>
      <c r="BA218"/>
      <c r="BB218"/>
      <c r="BC218"/>
      <c r="BD218"/>
      <c r="BE218"/>
      <c r="BF218"/>
    </row>
    <row r="219" spans="2:58" x14ac:dyDescent="0.2">
      <c r="B219" s="869"/>
      <c r="C219" s="869"/>
      <c r="D219" s="869"/>
      <c r="E219" s="869"/>
      <c r="AD219"/>
      <c r="AE219"/>
      <c r="AF219"/>
      <c r="AG219"/>
      <c r="AH219"/>
      <c r="AI219"/>
      <c r="AJ219"/>
      <c r="AK219"/>
      <c r="AL219"/>
      <c r="AX219"/>
      <c r="AY219"/>
      <c r="AZ219"/>
      <c r="BA219"/>
      <c r="BB219"/>
      <c r="BC219"/>
      <c r="BD219"/>
      <c r="BE219"/>
      <c r="BF219"/>
    </row>
    <row r="220" spans="2:58" x14ac:dyDescent="0.2">
      <c r="B220" s="869"/>
      <c r="C220" s="869"/>
      <c r="D220" s="869"/>
      <c r="E220" s="869"/>
      <c r="AX220"/>
      <c r="AY220"/>
      <c r="AZ220"/>
      <c r="BA220"/>
      <c r="BB220"/>
      <c r="BC220"/>
      <c r="BD220"/>
      <c r="BE220"/>
      <c r="BF220"/>
    </row>
    <row r="221" spans="2:58" x14ac:dyDescent="0.2">
      <c r="B221" s="869"/>
      <c r="C221" s="869"/>
      <c r="D221" s="869"/>
      <c r="E221" s="869"/>
      <c r="AX221"/>
      <c r="AY221"/>
      <c r="AZ221"/>
      <c r="BA221"/>
      <c r="BB221"/>
      <c r="BC221"/>
      <c r="BD221"/>
      <c r="BE221"/>
      <c r="BF221"/>
    </row>
    <row r="222" spans="2:58" x14ac:dyDescent="0.2">
      <c r="B222" s="869"/>
      <c r="C222" s="869"/>
      <c r="D222" s="869"/>
      <c r="E222" s="869"/>
    </row>
    <row r="223" spans="2:58" x14ac:dyDescent="0.2">
      <c r="B223" s="869"/>
      <c r="C223" s="869"/>
      <c r="D223" s="869"/>
      <c r="E223" s="869"/>
    </row>
    <row r="224" spans="2:58" x14ac:dyDescent="0.2">
      <c r="B224" s="869"/>
      <c r="C224" s="869"/>
      <c r="D224" s="869"/>
      <c r="E224" s="869"/>
    </row>
    <row r="225" spans="2:5" x14ac:dyDescent="0.2">
      <c r="B225" s="869"/>
      <c r="C225" s="869"/>
      <c r="D225" s="869"/>
      <c r="E225" s="869"/>
    </row>
    <row r="226" spans="2:5" x14ac:dyDescent="0.2">
      <c r="B226" s="869"/>
      <c r="C226" s="869"/>
      <c r="D226" s="869"/>
      <c r="E226" s="869"/>
    </row>
    <row r="227" spans="2:5" x14ac:dyDescent="0.2">
      <c r="B227" s="869"/>
      <c r="C227" s="869"/>
      <c r="D227" s="869"/>
      <c r="E227" s="869"/>
    </row>
    <row r="228" spans="2:5" x14ac:dyDescent="0.2">
      <c r="B228" s="869"/>
      <c r="C228" s="869"/>
      <c r="D228" s="869"/>
      <c r="E228" s="869"/>
    </row>
    <row r="229" spans="2:5" x14ac:dyDescent="0.2">
      <c r="B229" s="869"/>
      <c r="C229" s="869"/>
      <c r="D229" s="869"/>
      <c r="E229" s="869"/>
    </row>
    <row r="230" spans="2:5" x14ac:dyDescent="0.2">
      <c r="B230" s="869"/>
      <c r="C230" s="869"/>
      <c r="D230" s="869"/>
      <c r="E230" s="869"/>
    </row>
    <row r="231" spans="2:5" x14ac:dyDescent="0.2">
      <c r="B231" s="869"/>
      <c r="C231" s="869"/>
      <c r="D231" s="869"/>
      <c r="E231" s="869"/>
    </row>
    <row r="232" spans="2:5" x14ac:dyDescent="0.2">
      <c r="B232" s="869"/>
      <c r="C232" s="869"/>
      <c r="D232" s="869"/>
      <c r="E232" s="869"/>
    </row>
    <row r="233" spans="2:5" x14ac:dyDescent="0.2">
      <c r="B233" s="869"/>
      <c r="C233" s="869"/>
      <c r="D233" s="869"/>
      <c r="E233" s="869"/>
    </row>
    <row r="234" spans="2:5" x14ac:dyDescent="0.2">
      <c r="B234" s="869"/>
      <c r="C234" s="869"/>
      <c r="D234" s="869"/>
      <c r="E234" s="869"/>
    </row>
    <row r="235" spans="2:5" x14ac:dyDescent="0.2">
      <c r="B235" s="869"/>
      <c r="C235" s="869"/>
      <c r="D235" s="869"/>
      <c r="E235" s="869"/>
    </row>
    <row r="236" spans="2:5" x14ac:dyDescent="0.2">
      <c r="B236" s="869"/>
      <c r="C236" s="869"/>
      <c r="D236" s="869"/>
      <c r="E236" s="869"/>
    </row>
    <row r="237" spans="2:5" x14ac:dyDescent="0.2">
      <c r="B237" s="869"/>
      <c r="C237" s="869"/>
      <c r="D237" s="869"/>
      <c r="E237" s="869"/>
    </row>
    <row r="238" spans="2:5" x14ac:dyDescent="0.2">
      <c r="B238" s="869"/>
      <c r="C238" s="869"/>
      <c r="D238" s="869"/>
      <c r="E238" s="869"/>
    </row>
    <row r="239" spans="2:5" x14ac:dyDescent="0.2">
      <c r="B239" s="869"/>
      <c r="C239" s="869"/>
      <c r="D239" s="869"/>
      <c r="E239" s="869"/>
    </row>
    <row r="240" spans="2:5" x14ac:dyDescent="0.2">
      <c r="B240" s="869"/>
      <c r="C240" s="869"/>
      <c r="D240" s="869"/>
      <c r="E240" s="869"/>
    </row>
    <row r="241" spans="2:5" x14ac:dyDescent="0.2">
      <c r="B241" s="869"/>
      <c r="C241" s="869"/>
      <c r="D241" s="869"/>
      <c r="E241" s="869"/>
    </row>
    <row r="242" spans="2:5" x14ac:dyDescent="0.2">
      <c r="B242" s="869"/>
      <c r="C242" s="869"/>
      <c r="D242" s="869"/>
      <c r="E242" s="869"/>
    </row>
    <row r="243" spans="2:5" x14ac:dyDescent="0.2">
      <c r="B243" s="869"/>
      <c r="C243" s="869"/>
      <c r="D243" s="869"/>
      <c r="E243" s="869"/>
    </row>
    <row r="244" spans="2:5" x14ac:dyDescent="0.2">
      <c r="B244" s="869"/>
      <c r="C244" s="869"/>
      <c r="D244" s="869"/>
      <c r="E244" s="869"/>
    </row>
    <row r="245" spans="2:5" x14ac:dyDescent="0.2">
      <c r="B245" s="869"/>
      <c r="C245" s="869"/>
      <c r="D245" s="869"/>
      <c r="E245" s="869"/>
    </row>
    <row r="246" spans="2:5" x14ac:dyDescent="0.2">
      <c r="B246" s="869"/>
      <c r="C246" s="869"/>
      <c r="D246" s="869"/>
      <c r="E246" s="869"/>
    </row>
    <row r="247" spans="2:5" x14ac:dyDescent="0.2">
      <c r="B247" s="869"/>
      <c r="C247" s="869"/>
      <c r="D247" s="869"/>
      <c r="E247" s="869"/>
    </row>
    <row r="248" spans="2:5" x14ac:dyDescent="0.2">
      <c r="B248" s="869"/>
      <c r="C248" s="869"/>
      <c r="D248" s="869"/>
      <c r="E248" s="869"/>
    </row>
    <row r="249" spans="2:5" x14ac:dyDescent="0.2">
      <c r="B249" s="869"/>
      <c r="C249" s="869"/>
      <c r="D249" s="869"/>
      <c r="E249" s="869"/>
    </row>
    <row r="250" spans="2:5" x14ac:dyDescent="0.2">
      <c r="B250" s="869"/>
      <c r="C250" s="869"/>
      <c r="D250" s="869"/>
      <c r="E250" s="869"/>
    </row>
    <row r="251" spans="2:5" x14ac:dyDescent="0.2">
      <c r="B251" s="869"/>
      <c r="C251" s="869"/>
      <c r="D251" s="869"/>
      <c r="E251" s="869"/>
    </row>
    <row r="252" spans="2:5" x14ac:dyDescent="0.2">
      <c r="B252" s="869"/>
      <c r="C252" s="869"/>
      <c r="D252" s="869"/>
      <c r="E252" s="869"/>
    </row>
    <row r="253" spans="2:5" x14ac:dyDescent="0.2">
      <c r="B253" s="869"/>
      <c r="C253" s="869"/>
      <c r="D253" s="869"/>
      <c r="E253" s="869"/>
    </row>
    <row r="254" spans="2:5" x14ac:dyDescent="0.2">
      <c r="B254" s="869"/>
      <c r="C254" s="869"/>
      <c r="D254" s="869"/>
      <c r="E254" s="869"/>
    </row>
    <row r="255" spans="2:5" x14ac:dyDescent="0.2">
      <c r="B255" s="869"/>
      <c r="C255" s="869"/>
      <c r="D255" s="869"/>
      <c r="E255" s="869"/>
    </row>
    <row r="256" spans="2:5" x14ac:dyDescent="0.2">
      <c r="B256" s="869"/>
      <c r="C256" s="869"/>
      <c r="D256" s="869"/>
      <c r="E256" s="869"/>
    </row>
    <row r="257" spans="2:5" x14ac:dyDescent="0.2">
      <c r="B257" s="869"/>
      <c r="C257" s="869"/>
      <c r="D257" s="869"/>
      <c r="E257" s="869"/>
    </row>
    <row r="258" spans="2:5" x14ac:dyDescent="0.2">
      <c r="B258" s="869"/>
      <c r="C258" s="869"/>
      <c r="D258" s="869"/>
      <c r="E258" s="869"/>
    </row>
    <row r="259" spans="2:5" x14ac:dyDescent="0.2">
      <c r="B259" s="869"/>
      <c r="C259" s="869"/>
      <c r="D259" s="869"/>
      <c r="E259" s="869"/>
    </row>
    <row r="260" spans="2:5" x14ac:dyDescent="0.2">
      <c r="B260" s="869"/>
      <c r="C260" s="869"/>
      <c r="D260" s="869"/>
      <c r="E260" s="869"/>
    </row>
    <row r="261" spans="2:5" x14ac:dyDescent="0.2">
      <c r="B261" s="869"/>
      <c r="C261" s="869"/>
      <c r="D261" s="869"/>
      <c r="E261" s="869"/>
    </row>
    <row r="262" spans="2:5" x14ac:dyDescent="0.2">
      <c r="B262" s="869"/>
      <c r="C262" s="869"/>
      <c r="D262" s="869"/>
      <c r="E262" s="869"/>
    </row>
    <row r="263" spans="2:5" x14ac:dyDescent="0.2">
      <c r="B263" s="869"/>
      <c r="C263" s="869"/>
      <c r="D263" s="869"/>
      <c r="E263" s="869"/>
    </row>
    <row r="264" spans="2:5" x14ac:dyDescent="0.2">
      <c r="B264" s="869"/>
      <c r="C264" s="869"/>
      <c r="D264" s="869"/>
      <c r="E264" s="869"/>
    </row>
    <row r="265" spans="2:5" x14ac:dyDescent="0.2">
      <c r="B265" s="869"/>
      <c r="C265" s="869"/>
      <c r="D265" s="869"/>
      <c r="E265" s="869"/>
    </row>
    <row r="266" spans="2:5" x14ac:dyDescent="0.2">
      <c r="B266" s="869"/>
      <c r="C266" s="869"/>
      <c r="D266" s="869"/>
      <c r="E266" s="869"/>
    </row>
    <row r="267" spans="2:5" x14ac:dyDescent="0.2">
      <c r="B267" s="869"/>
      <c r="C267" s="869"/>
      <c r="D267" s="869"/>
      <c r="E267" s="869"/>
    </row>
    <row r="268" spans="2:5" x14ac:dyDescent="0.2">
      <c r="B268" s="869"/>
      <c r="C268" s="869"/>
      <c r="D268" s="869"/>
      <c r="E268" s="869"/>
    </row>
    <row r="269" spans="2:5" x14ac:dyDescent="0.2">
      <c r="B269" s="869"/>
      <c r="C269" s="869"/>
      <c r="D269" s="869"/>
      <c r="E269" s="869"/>
    </row>
    <row r="270" spans="2:5" x14ac:dyDescent="0.2">
      <c r="B270" s="869"/>
      <c r="C270" s="869"/>
      <c r="D270" s="869"/>
      <c r="E270" s="869"/>
    </row>
    <row r="271" spans="2:5" x14ac:dyDescent="0.2">
      <c r="B271" s="869"/>
      <c r="C271" s="869"/>
      <c r="D271" s="869"/>
      <c r="E271" s="869"/>
    </row>
    <row r="272" spans="2:5" x14ac:dyDescent="0.2">
      <c r="B272" s="869"/>
      <c r="C272" s="869"/>
      <c r="D272" s="869"/>
      <c r="E272" s="869"/>
    </row>
    <row r="273" spans="2:5" x14ac:dyDescent="0.2">
      <c r="B273" s="869"/>
      <c r="C273" s="869"/>
      <c r="D273" s="869"/>
      <c r="E273" s="869"/>
    </row>
    <row r="274" spans="2:5" x14ac:dyDescent="0.2">
      <c r="B274" s="869"/>
      <c r="C274" s="869"/>
      <c r="D274" s="869"/>
      <c r="E274" s="869"/>
    </row>
    <row r="275" spans="2:5" x14ac:dyDescent="0.2">
      <c r="B275" s="869"/>
      <c r="C275" s="869"/>
      <c r="D275" s="869"/>
      <c r="E275" s="869"/>
    </row>
    <row r="276" spans="2:5" x14ac:dyDescent="0.2">
      <c r="B276" s="869"/>
      <c r="C276" s="869"/>
      <c r="D276" s="869"/>
      <c r="E276" s="869"/>
    </row>
    <row r="277" spans="2:5" x14ac:dyDescent="0.2">
      <c r="B277" s="869"/>
      <c r="C277" s="869"/>
      <c r="D277" s="869"/>
      <c r="E277" s="869"/>
    </row>
    <row r="278" spans="2:5" x14ac:dyDescent="0.2">
      <c r="B278" s="869"/>
      <c r="C278" s="869"/>
      <c r="D278" s="869"/>
      <c r="E278" s="869"/>
    </row>
    <row r="279" spans="2:5" x14ac:dyDescent="0.2">
      <c r="B279" s="869"/>
      <c r="C279" s="869"/>
      <c r="D279" s="869"/>
      <c r="E279" s="869"/>
    </row>
    <row r="280" spans="2:5" x14ac:dyDescent="0.2">
      <c r="B280" s="869"/>
      <c r="C280" s="869"/>
      <c r="D280" s="869"/>
      <c r="E280" s="869"/>
    </row>
    <row r="281" spans="2:5" x14ac:dyDescent="0.2">
      <c r="B281" s="869"/>
      <c r="C281" s="869"/>
      <c r="D281" s="869"/>
      <c r="E281" s="869"/>
    </row>
    <row r="282" spans="2:5" x14ac:dyDescent="0.2">
      <c r="B282" s="869"/>
      <c r="C282" s="869"/>
      <c r="D282" s="869"/>
      <c r="E282" s="869"/>
    </row>
    <row r="283" spans="2:5" x14ac:dyDescent="0.2">
      <c r="B283" s="869"/>
      <c r="C283" s="869"/>
      <c r="D283" s="869"/>
      <c r="E283" s="869"/>
    </row>
  </sheetData>
  <sheetProtection password="8376" sheet="1" objects="1" scenarios="1"/>
  <mergeCells count="53">
    <mergeCell ref="B132:E132"/>
    <mergeCell ref="B167:B176"/>
    <mergeCell ref="B177:E184"/>
    <mergeCell ref="B185:E283"/>
    <mergeCell ref="B133:B149"/>
    <mergeCell ref="B150:E150"/>
    <mergeCell ref="B151:B157"/>
    <mergeCell ref="B158:E158"/>
    <mergeCell ref="B159:B165"/>
    <mergeCell ref="B166:E166"/>
    <mergeCell ref="CL1:CT3"/>
    <mergeCell ref="CV1:DD3"/>
    <mergeCell ref="DF1:DN3"/>
    <mergeCell ref="B3:E3"/>
    <mergeCell ref="B4:E4"/>
    <mergeCell ref="L4:O4"/>
    <mergeCell ref="V4:Y4"/>
    <mergeCell ref="AF4:AI4"/>
    <mergeCell ref="AP4:AS4"/>
    <mergeCell ref="AZ4:BC4"/>
    <mergeCell ref="BJ4:BM4"/>
    <mergeCell ref="BT4:BW4"/>
    <mergeCell ref="CD4:CH4"/>
    <mergeCell ref="CN4:CQ4"/>
    <mergeCell ref="CX4:DA4"/>
    <mergeCell ref="DH4:DK4"/>
    <mergeCell ref="AN1:AV3"/>
    <mergeCell ref="AX1:BF3"/>
    <mergeCell ref="BH1:BP3"/>
    <mergeCell ref="BR1:BZ3"/>
    <mergeCell ref="CB1:CJ3"/>
    <mergeCell ref="AD1:AL3"/>
    <mergeCell ref="B6:E6"/>
    <mergeCell ref="B7:B15"/>
    <mergeCell ref="B16:E16"/>
    <mergeCell ref="B17:E17"/>
    <mergeCell ref="B5:E5"/>
    <mergeCell ref="A1:A1048576"/>
    <mergeCell ref="B1:E2"/>
    <mergeCell ref="F1:H1048576"/>
    <mergeCell ref="J1:R3"/>
    <mergeCell ref="T1:AB3"/>
    <mergeCell ref="B18:B37"/>
    <mergeCell ref="B38:E38"/>
    <mergeCell ref="B39:B58"/>
    <mergeCell ref="B59:E59"/>
    <mergeCell ref="B60:B79"/>
    <mergeCell ref="B80:E80"/>
    <mergeCell ref="B81:B100"/>
    <mergeCell ref="B101:E101"/>
    <mergeCell ref="B102:B114"/>
    <mergeCell ref="B115:E115"/>
    <mergeCell ref="B116:B13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321"/>
  <sheetViews>
    <sheetView zoomScaleSheetLayoutView="100" workbookViewId="0">
      <selection activeCell="Q1" sqref="Q1:Q1048576"/>
    </sheetView>
  </sheetViews>
  <sheetFormatPr defaultColWidth="6.85546875" defaultRowHeight="11.25" x14ac:dyDescent="0.2"/>
  <cols>
    <col min="1" max="1" width="40.28515625" style="869" customWidth="1"/>
    <col min="2" max="2" width="18.7109375" style="162" customWidth="1"/>
    <col min="3" max="3" width="6.140625" style="162" customWidth="1"/>
    <col min="4" max="4" width="5.85546875" style="162" customWidth="1"/>
    <col min="5" max="5" width="2.85546875" style="162" customWidth="1"/>
    <col min="6" max="6" width="8.42578125" style="162" customWidth="1"/>
    <col min="7" max="7" width="2.85546875" style="162" customWidth="1"/>
    <col min="8" max="8" width="6.7109375" style="162" customWidth="1"/>
    <col min="9" max="9" width="2.85546875" style="162" customWidth="1"/>
    <col min="10" max="10" width="7.7109375" style="162" customWidth="1"/>
    <col min="11" max="11" width="0" style="162" hidden="1" customWidth="1"/>
    <col min="12" max="12" width="7.5703125" style="163" customWidth="1"/>
    <col min="13" max="13" width="7.5703125" style="164" customWidth="1"/>
    <col min="14" max="14" width="8.7109375" style="165" customWidth="1"/>
    <col min="15" max="16" width="8.7109375" style="51" customWidth="1"/>
    <col min="17" max="17" width="53.140625" style="912" customWidth="1"/>
    <col min="18" max="18" width="11.42578125" style="914" customWidth="1"/>
    <col min="19" max="19" width="2.5703125" style="167" customWidth="1"/>
    <col min="20" max="20" width="128.85546875" style="168" customWidth="1"/>
    <col min="21" max="21" width="96" style="168" customWidth="1"/>
    <col min="22" max="23" width="11.5703125" style="168" customWidth="1"/>
    <col min="24" max="24" width="5.28515625" style="168" customWidth="1"/>
    <col min="25" max="25" width="3.7109375" style="168" customWidth="1"/>
    <col min="26" max="26" width="9.28515625" style="168" customWidth="1"/>
    <col min="27" max="27" width="4.42578125" style="168" customWidth="1"/>
    <col min="28" max="28" width="7.140625" style="168" customWidth="1"/>
    <col min="29" max="29" width="7.5703125" style="168" customWidth="1"/>
    <col min="30" max="30" width="7.85546875" style="168" customWidth="1"/>
    <col min="31" max="31" width="6.85546875" style="168"/>
    <col min="32" max="32" width="11.5703125" style="168" customWidth="1"/>
    <col min="33" max="33" width="11.140625" style="168" customWidth="1"/>
    <col min="34" max="34" width="10.28515625" style="168" customWidth="1"/>
    <col min="35" max="35" width="9" style="168" customWidth="1"/>
    <col min="36" max="36" width="13.7109375" style="168" customWidth="1"/>
    <col min="37" max="37" width="2.5703125" style="168" customWidth="1"/>
    <col min="38" max="38" width="2.5703125" style="169" customWidth="1"/>
    <col min="39" max="40" width="11.5703125" style="168" customWidth="1"/>
    <col min="41" max="41" width="5.28515625" style="168" customWidth="1"/>
    <col min="42" max="42" width="3.7109375" style="168" customWidth="1"/>
    <col min="43" max="43" width="9.28515625" style="168" customWidth="1"/>
    <col min="44" max="44" width="4.42578125" style="168" customWidth="1"/>
    <col min="45" max="45" width="7.140625" style="168" customWidth="1"/>
    <col min="46" max="46" width="7.5703125" style="168" customWidth="1"/>
    <col min="47" max="47" width="7.85546875" style="168" customWidth="1"/>
    <col min="48" max="48" width="6.28515625" style="168" customWidth="1"/>
    <col min="49" max="49" width="11.5703125" style="168" customWidth="1"/>
    <col min="50" max="52" width="9" style="168" customWidth="1"/>
    <col min="53" max="53" width="11.5703125" style="168" customWidth="1"/>
    <col min="54" max="54" width="2.5703125" style="168" customWidth="1"/>
    <col min="55" max="56" width="11.5703125" style="168" customWidth="1"/>
    <col min="57" max="57" width="5.28515625" style="168" customWidth="1"/>
    <col min="58" max="58" width="3.7109375" style="168" customWidth="1"/>
    <col min="59" max="59" width="9.28515625" style="168" customWidth="1"/>
    <col min="60" max="60" width="4.42578125" style="168" customWidth="1"/>
    <col min="61" max="61" width="7.140625" style="168" customWidth="1"/>
    <col min="62" max="62" width="7.5703125" style="168" customWidth="1"/>
    <col min="63" max="63" width="7.85546875" style="168" customWidth="1"/>
    <col min="64" max="64" width="6.85546875" style="168"/>
    <col min="65" max="65" width="11.5703125" style="168" customWidth="1"/>
    <col min="66" max="68" width="9" style="168" customWidth="1"/>
    <col min="69" max="69" width="11.5703125" style="168" customWidth="1"/>
    <col min="70" max="70" width="2.5703125" style="168" customWidth="1"/>
    <col min="71" max="72" width="11.5703125" style="168" customWidth="1"/>
    <col min="73" max="73" width="5.28515625" style="168" customWidth="1"/>
    <col min="74" max="74" width="3.7109375" style="168" customWidth="1"/>
    <col min="75" max="75" width="9.28515625" style="168" customWidth="1"/>
    <col min="76" max="76" width="4.42578125" style="168" customWidth="1"/>
    <col min="77" max="77" width="7.140625" style="168" customWidth="1"/>
    <col min="78" max="78" width="7.5703125" style="168" customWidth="1"/>
    <col min="79" max="79" width="7.85546875" style="168" customWidth="1"/>
    <col min="80" max="80" width="4.5703125" style="168" customWidth="1"/>
    <col min="81" max="81" width="11.5703125" style="168" customWidth="1"/>
    <col min="82" max="84" width="9" style="168" customWidth="1"/>
    <col min="85" max="85" width="11.5703125" style="168" customWidth="1"/>
    <col min="86" max="86" width="2.5703125" style="168" customWidth="1"/>
    <col min="87" max="88" width="11.5703125" style="168" customWidth="1"/>
    <col min="89" max="89" width="5.28515625" style="168" customWidth="1"/>
    <col min="90" max="90" width="3.7109375" style="168" customWidth="1"/>
    <col min="91" max="91" width="9.28515625" style="168" customWidth="1"/>
    <col min="92" max="92" width="3.140625" style="168" customWidth="1"/>
    <col min="93" max="93" width="7.140625" style="168" customWidth="1"/>
    <col min="94" max="94" width="7.5703125" style="168" customWidth="1"/>
    <col min="95" max="95" width="7.85546875" style="168" customWidth="1"/>
    <col min="96" max="96" width="4.5703125" style="168" customWidth="1"/>
    <col min="97" max="97" width="11.5703125" style="168" customWidth="1"/>
    <col min="98" max="100" width="9" style="168" customWidth="1"/>
    <col min="101" max="101" width="11.5703125" style="168" customWidth="1"/>
    <col min="102" max="102" width="2.5703125" style="168" customWidth="1"/>
    <col min="103" max="104" width="11.5703125" style="168" customWidth="1"/>
    <col min="105" max="105" width="5.28515625" style="168" customWidth="1"/>
    <col min="106" max="106" width="3.7109375" style="168" customWidth="1"/>
    <col min="107" max="107" width="9.28515625" style="168" customWidth="1"/>
    <col min="108" max="108" width="3.140625" style="168" customWidth="1"/>
    <col min="109" max="109" width="7.140625" style="168" customWidth="1"/>
    <col min="110" max="110" width="7.5703125" style="168" customWidth="1"/>
    <col min="111" max="111" width="7.85546875" style="168" customWidth="1"/>
    <col min="112" max="112" width="4.5703125" style="168" customWidth="1"/>
    <col min="113" max="113" width="11.5703125" style="168" customWidth="1"/>
    <col min="114" max="116" width="9" style="168" customWidth="1"/>
    <col min="117" max="117" width="11.5703125" style="168" customWidth="1"/>
    <col min="118" max="118" width="2.5703125" style="168" customWidth="1"/>
    <col min="119" max="120" width="11.5703125" style="168" customWidth="1"/>
    <col min="121" max="121" width="5.28515625" style="168" customWidth="1"/>
    <col min="122" max="122" width="3.7109375" style="168" customWidth="1"/>
    <col min="123" max="123" width="9.28515625" style="168" customWidth="1"/>
    <col min="124" max="124" width="3.140625" style="168" customWidth="1"/>
    <col min="125" max="125" width="7.140625" style="168" customWidth="1"/>
    <col min="126" max="126" width="7.5703125" style="168" customWidth="1"/>
    <col min="127" max="127" width="7.85546875" style="168" customWidth="1"/>
    <col min="128" max="128" width="4.5703125" style="168" customWidth="1"/>
    <col min="129" max="129" width="11.5703125" style="168" customWidth="1"/>
    <col min="130" max="132" width="9" style="168" customWidth="1"/>
    <col min="133" max="133" width="11.5703125" style="168" customWidth="1"/>
    <col min="134" max="134" width="2.5703125" style="168" customWidth="1"/>
    <col min="135" max="136" width="11.5703125" style="168" customWidth="1"/>
    <col min="137" max="137" width="5.28515625" style="168" customWidth="1"/>
    <col min="138" max="138" width="3.7109375" style="168" customWidth="1"/>
    <col min="139" max="139" width="9.28515625" style="168" customWidth="1"/>
    <col min="140" max="140" width="4.42578125" style="168" customWidth="1"/>
    <col min="141" max="141" width="7.140625" style="168" customWidth="1"/>
    <col min="142" max="142" width="7.5703125" style="168" customWidth="1"/>
    <col min="143" max="143" width="7.85546875" style="168" customWidth="1"/>
    <col min="144" max="144" width="6.85546875" style="168"/>
    <col min="145" max="145" width="11.5703125" style="168" customWidth="1"/>
    <col min="146" max="148" width="9" style="168" customWidth="1"/>
    <col min="149" max="149" width="11.5703125" style="168" customWidth="1"/>
    <col min="150" max="150" width="2.5703125" style="168" customWidth="1"/>
    <col min="151" max="152" width="11.5703125" style="168" customWidth="1"/>
    <col min="153" max="153" width="5.28515625" style="168" customWidth="1"/>
    <col min="154" max="154" width="3.7109375" style="168" customWidth="1"/>
    <col min="155" max="155" width="9.28515625" style="168" customWidth="1"/>
    <col min="156" max="156" width="3.140625" style="168" customWidth="1"/>
    <col min="157" max="157" width="7.140625" style="168" customWidth="1"/>
    <col min="158" max="158" width="7.5703125" style="168" customWidth="1"/>
    <col min="159" max="159" width="7.85546875" style="168" customWidth="1"/>
    <col min="160" max="160" width="6.85546875" style="168"/>
    <col min="161" max="161" width="11.5703125" style="168" customWidth="1"/>
    <col min="162" max="164" width="9" style="168" customWidth="1"/>
    <col min="165" max="165" width="11.5703125" style="168" customWidth="1"/>
    <col min="166" max="166" width="2.5703125" style="168" customWidth="1"/>
    <col min="167" max="168" width="11.5703125" style="168" customWidth="1"/>
    <col min="169" max="169" width="5.28515625" style="168" customWidth="1"/>
    <col min="170" max="170" width="3.7109375" style="168" customWidth="1"/>
    <col min="171" max="171" width="9.28515625" style="168" customWidth="1"/>
    <col min="172" max="172" width="3.140625" style="168" customWidth="1"/>
    <col min="173" max="173" width="7.140625" style="168" customWidth="1"/>
    <col min="174" max="174" width="7.5703125" style="168" customWidth="1"/>
    <col min="175" max="175" width="7.85546875" style="168" customWidth="1"/>
    <col min="176" max="176" width="4.5703125" style="168" customWidth="1"/>
    <col min="177" max="177" width="11.5703125" style="168" customWidth="1"/>
    <col min="178" max="180" width="9" style="168" customWidth="1"/>
    <col min="181" max="181" width="11.5703125" style="168" customWidth="1"/>
    <col min="182" max="182" width="2.5703125" style="168" customWidth="1"/>
    <col min="183" max="184" width="11.5703125" style="168" customWidth="1"/>
    <col min="185" max="185" width="5.28515625" style="168" customWidth="1"/>
    <col min="186" max="186" width="3.7109375" style="168" customWidth="1"/>
    <col min="187" max="187" width="9.28515625" style="168" customWidth="1"/>
    <col min="188" max="188" width="3.140625" style="168" customWidth="1"/>
    <col min="189" max="189" width="7.140625" style="168" customWidth="1"/>
    <col min="190" max="190" width="7.5703125" style="168" customWidth="1"/>
    <col min="191" max="191" width="7.85546875" style="168" customWidth="1"/>
    <col min="192" max="192" width="4.5703125" style="168" customWidth="1"/>
    <col min="193" max="193" width="11.5703125" style="168" customWidth="1"/>
    <col min="194" max="196" width="9" style="168" customWidth="1"/>
    <col min="197" max="197" width="11.5703125" style="168" customWidth="1"/>
    <col min="198" max="198" width="2.5703125" style="168" customWidth="1"/>
    <col min="199" max="200" width="11.5703125" style="168" customWidth="1"/>
    <col min="201" max="201" width="5.28515625" style="168" customWidth="1"/>
    <col min="202" max="202" width="3.7109375" style="168" customWidth="1"/>
    <col min="203" max="203" width="9.28515625" style="168" customWidth="1"/>
    <col min="204" max="204" width="4.42578125" style="168" customWidth="1"/>
    <col min="205" max="205" width="7.140625" style="168" customWidth="1"/>
    <col min="206" max="206" width="7.5703125" style="168" customWidth="1"/>
    <col min="207" max="207" width="7.85546875" style="168" customWidth="1"/>
    <col min="208" max="208" width="4.5703125" style="168" customWidth="1"/>
    <col min="209" max="209" width="11.5703125" style="168" customWidth="1"/>
    <col min="210" max="212" width="9" style="168" customWidth="1"/>
    <col min="213" max="213" width="11.5703125" style="168" customWidth="1"/>
    <col min="214" max="214" width="2.5703125" style="168" customWidth="1"/>
    <col min="215" max="216" width="11.5703125" style="168" customWidth="1"/>
    <col min="217" max="217" width="5.28515625" style="162" customWidth="1"/>
    <col min="218" max="218" width="3.7109375" style="162" customWidth="1"/>
    <col min="219" max="219" width="9.28515625" style="162" customWidth="1"/>
    <col min="220" max="220" width="4.42578125" style="162" customWidth="1"/>
    <col min="221" max="221" width="7.140625" style="162" customWidth="1"/>
    <col min="222" max="222" width="7.5703125" style="162" customWidth="1"/>
    <col min="223" max="223" width="7.85546875" style="162" customWidth="1"/>
    <col min="224" max="224" width="1.5703125" style="162" customWidth="1"/>
    <col min="225" max="225" width="11.5703125" style="162" customWidth="1"/>
    <col min="226" max="228" width="9" style="162" customWidth="1"/>
    <col min="229" max="229" width="11.5703125" style="162" customWidth="1"/>
    <col min="230" max="230" width="2.5703125" style="162" customWidth="1"/>
    <col min="231" max="232" width="11.5703125" style="162" customWidth="1"/>
    <col min="233" max="233" width="5.28515625" style="162" customWidth="1"/>
    <col min="234" max="234" width="3.7109375" style="162" customWidth="1"/>
    <col min="235" max="235" width="9.28515625" style="162" customWidth="1"/>
    <col min="236" max="236" width="4.42578125" style="162" customWidth="1"/>
    <col min="237" max="237" width="7.140625" style="162" customWidth="1"/>
    <col min="238" max="238" width="7.5703125" style="162" customWidth="1"/>
    <col min="239" max="239" width="7.85546875" style="162" customWidth="1"/>
    <col min="240" max="240" width="0" style="162" hidden="1" customWidth="1"/>
    <col min="241" max="241" width="11.5703125" style="162" customWidth="1"/>
    <col min="242" max="244" width="9" style="162" customWidth="1"/>
    <col min="245" max="245" width="11.5703125" style="162" customWidth="1"/>
    <col min="246" max="246" width="2.5703125" style="162" customWidth="1"/>
    <col min="247" max="248" width="11.5703125" style="162" customWidth="1"/>
    <col min="249" max="249" width="5.28515625" style="162" customWidth="1"/>
    <col min="250" max="250" width="3.7109375" style="162" customWidth="1"/>
    <col min="251" max="251" width="9.28515625" style="162" customWidth="1"/>
    <col min="252" max="252" width="4.42578125" style="162" customWidth="1"/>
    <col min="253" max="253" width="7.140625" style="162" customWidth="1"/>
    <col min="254" max="254" width="7.5703125" style="162" customWidth="1"/>
    <col min="255" max="255" width="7.85546875" style="162" customWidth="1"/>
    <col min="256" max="16384" width="6.85546875" style="162"/>
  </cols>
  <sheetData>
    <row r="1" spans="1:256" s="171" customFormat="1" ht="18.600000000000001" customHeight="1" x14ac:dyDescent="0.2">
      <c r="A1" s="869"/>
      <c r="B1" s="911" t="s">
        <v>373</v>
      </c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  <c r="Q1" s="912"/>
      <c r="R1" s="913"/>
      <c r="S1" s="167"/>
      <c r="T1" s="168"/>
      <c r="U1" s="168"/>
      <c r="V1" s="170" t="s">
        <v>373</v>
      </c>
      <c r="AJ1" s="168"/>
      <c r="AK1" s="168"/>
      <c r="AL1" s="169"/>
      <c r="AM1" s="170" t="s">
        <v>373</v>
      </c>
      <c r="BA1" s="168"/>
      <c r="BB1" s="168"/>
      <c r="BC1" s="170" t="s">
        <v>373</v>
      </c>
      <c r="BQ1" s="168"/>
      <c r="BR1" s="168"/>
      <c r="BS1" s="170" t="s">
        <v>373</v>
      </c>
      <c r="CG1" s="168"/>
      <c r="CH1" s="168"/>
      <c r="CI1" s="170" t="s">
        <v>373</v>
      </c>
      <c r="CW1" s="168"/>
      <c r="CX1" s="168"/>
      <c r="CY1" s="170" t="s">
        <v>373</v>
      </c>
      <c r="DM1" s="168"/>
      <c r="DN1" s="168"/>
      <c r="DO1" s="170" t="s">
        <v>373</v>
      </c>
      <c r="EC1" s="168"/>
      <c r="ED1" s="168"/>
      <c r="EE1" s="170" t="s">
        <v>373</v>
      </c>
      <c r="ES1" s="168"/>
      <c r="ET1" s="168"/>
      <c r="EU1" s="170" t="s">
        <v>373</v>
      </c>
      <c r="FI1" s="168"/>
      <c r="FJ1" s="168"/>
      <c r="FK1" s="170" t="s">
        <v>373</v>
      </c>
      <c r="FY1" s="168"/>
      <c r="FZ1" s="168"/>
      <c r="GA1" s="170" t="s">
        <v>373</v>
      </c>
      <c r="GO1" s="168"/>
      <c r="GP1" s="168"/>
      <c r="GQ1" s="170" t="s">
        <v>373</v>
      </c>
      <c r="HE1" s="168"/>
      <c r="HF1" s="172"/>
      <c r="HG1" s="172"/>
      <c r="HH1" s="172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171" customFormat="1" ht="12.75" x14ac:dyDescent="0.2">
      <c r="A2" s="869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4"/>
      <c r="M2" s="175"/>
      <c r="N2" s="176"/>
      <c r="O2" s="176"/>
      <c r="P2" s="177"/>
      <c r="Q2" s="912"/>
      <c r="R2" s="913"/>
      <c r="S2" s="167"/>
      <c r="T2" s="168"/>
      <c r="U2" s="168"/>
      <c r="AJ2" s="168"/>
      <c r="AK2" s="168"/>
      <c r="AL2" s="169"/>
      <c r="BA2" s="168"/>
      <c r="BB2" s="168"/>
      <c r="BQ2" s="168"/>
      <c r="BR2" s="168"/>
      <c r="CG2" s="168"/>
      <c r="CH2" s="168"/>
      <c r="CW2" s="168"/>
      <c r="CX2" s="168"/>
      <c r="DM2" s="168"/>
      <c r="DN2" s="168"/>
      <c r="EC2" s="168"/>
      <c r="ED2" s="168"/>
      <c r="ES2" s="168"/>
      <c r="ET2" s="168"/>
      <c r="FI2" s="168"/>
      <c r="FJ2" s="168"/>
      <c r="FY2" s="168"/>
      <c r="FZ2" s="168"/>
      <c r="GO2" s="168"/>
      <c r="GP2" s="168"/>
      <c r="HE2" s="168"/>
      <c r="HF2" s="172"/>
      <c r="HG2" s="172"/>
      <c r="HH2" s="17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187" customFormat="1" ht="12.75" x14ac:dyDescent="0.2">
      <c r="A3" s="869"/>
      <c r="B3" s="178"/>
      <c r="C3" s="179"/>
      <c r="D3" s="179"/>
      <c r="E3" s="179"/>
      <c r="F3" s="180" t="s">
        <v>59</v>
      </c>
      <c r="G3" s="181"/>
      <c r="H3" s="180" t="s">
        <v>374</v>
      </c>
      <c r="I3" s="179"/>
      <c r="J3" s="182"/>
      <c r="K3" s="183"/>
      <c r="L3" s="163"/>
      <c r="M3" s="184"/>
      <c r="N3" s="165"/>
      <c r="O3" s="165"/>
      <c r="P3" s="185"/>
      <c r="Q3" s="912"/>
      <c r="R3" s="913"/>
      <c r="S3" s="167"/>
      <c r="T3" s="168"/>
      <c r="U3" s="168"/>
      <c r="V3" s="186"/>
      <c r="Z3" s="188" t="s">
        <v>59</v>
      </c>
      <c r="AA3" s="189"/>
      <c r="AB3" s="188" t="s">
        <v>374</v>
      </c>
      <c r="AD3" s="190"/>
      <c r="AE3" s="191"/>
      <c r="AF3" s="192"/>
      <c r="AG3" s="193"/>
      <c r="AH3" s="193"/>
      <c r="AI3" s="194"/>
      <c r="AJ3" s="168"/>
      <c r="AK3" s="168"/>
      <c r="AL3" s="169"/>
      <c r="AM3" s="186"/>
      <c r="AQ3" s="188" t="s">
        <v>59</v>
      </c>
      <c r="AR3" s="189"/>
      <c r="AS3" s="188" t="s">
        <v>374</v>
      </c>
      <c r="AU3" s="190"/>
      <c r="AV3" s="191"/>
      <c r="AW3" s="192"/>
      <c r="AX3" s="193"/>
      <c r="AY3" s="193"/>
      <c r="AZ3" s="194"/>
      <c r="BA3" s="168"/>
      <c r="BB3" s="168"/>
      <c r="BC3" s="186"/>
      <c r="BG3" s="188" t="s">
        <v>59</v>
      </c>
      <c r="BH3" s="189"/>
      <c r="BI3" s="188" t="s">
        <v>374</v>
      </c>
      <c r="BK3" s="190"/>
      <c r="BL3" s="191"/>
      <c r="BM3" s="192"/>
      <c r="BN3" s="193"/>
      <c r="BO3" s="193"/>
      <c r="BP3" s="194"/>
      <c r="BQ3" s="168"/>
      <c r="BR3" s="168"/>
      <c r="BS3" s="186"/>
      <c r="BW3" s="188" t="s">
        <v>59</v>
      </c>
      <c r="BX3" s="189"/>
      <c r="BY3" s="188" t="s">
        <v>374</v>
      </c>
      <c r="CA3" s="190"/>
      <c r="CB3" s="191"/>
      <c r="CC3" s="192"/>
      <c r="CD3" s="193"/>
      <c r="CE3" s="193"/>
      <c r="CF3" s="194"/>
      <c r="CG3" s="168"/>
      <c r="CH3" s="168"/>
      <c r="CI3" s="186"/>
      <c r="CM3" s="188" t="s">
        <v>59</v>
      </c>
      <c r="CN3" s="189"/>
      <c r="CO3" s="188" t="s">
        <v>374</v>
      </c>
      <c r="CQ3" s="190"/>
      <c r="CR3" s="191"/>
      <c r="CS3" s="192"/>
      <c r="CT3" s="193"/>
      <c r="CU3" s="193"/>
      <c r="CV3" s="194"/>
      <c r="CW3" s="168"/>
      <c r="CX3" s="168"/>
      <c r="CY3" s="186"/>
      <c r="DC3" s="188" t="s">
        <v>59</v>
      </c>
      <c r="DD3" s="189"/>
      <c r="DE3" s="188" t="s">
        <v>374</v>
      </c>
      <c r="DG3" s="190"/>
      <c r="DH3" s="191"/>
      <c r="DI3" s="192"/>
      <c r="DJ3" s="193"/>
      <c r="DK3" s="193"/>
      <c r="DL3" s="194"/>
      <c r="DM3" s="168"/>
      <c r="DN3" s="168"/>
      <c r="DO3" s="186"/>
      <c r="DS3" s="188" t="s">
        <v>59</v>
      </c>
      <c r="DT3" s="189"/>
      <c r="DU3" s="188" t="s">
        <v>374</v>
      </c>
      <c r="DW3" s="190"/>
      <c r="DX3" s="191"/>
      <c r="DY3" s="192"/>
      <c r="DZ3" s="193"/>
      <c r="EA3" s="193"/>
      <c r="EB3" s="194"/>
      <c r="EC3" s="168"/>
      <c r="ED3" s="168"/>
      <c r="EE3" s="186"/>
      <c r="EI3" s="188" t="s">
        <v>59</v>
      </c>
      <c r="EJ3" s="189"/>
      <c r="EK3" s="188" t="s">
        <v>374</v>
      </c>
      <c r="EM3" s="190"/>
      <c r="EN3" s="191"/>
      <c r="EO3" s="192"/>
      <c r="EP3" s="193"/>
      <c r="EQ3" s="193"/>
      <c r="ER3" s="194"/>
      <c r="ES3" s="168"/>
      <c r="ET3" s="168"/>
      <c r="EU3" s="186"/>
      <c r="EY3" s="188" t="s">
        <v>59</v>
      </c>
      <c r="EZ3" s="189"/>
      <c r="FA3" s="188" t="s">
        <v>374</v>
      </c>
      <c r="FC3" s="190"/>
      <c r="FD3" s="191"/>
      <c r="FE3" s="192"/>
      <c r="FF3" s="193"/>
      <c r="FG3" s="193"/>
      <c r="FH3" s="194"/>
      <c r="FI3" s="168"/>
      <c r="FJ3" s="168"/>
      <c r="FK3" s="186"/>
      <c r="FO3" s="188" t="s">
        <v>59</v>
      </c>
      <c r="FP3" s="189"/>
      <c r="FQ3" s="188" t="s">
        <v>374</v>
      </c>
      <c r="FS3" s="190"/>
      <c r="FT3" s="191"/>
      <c r="FU3" s="192"/>
      <c r="FV3" s="193"/>
      <c r="FW3" s="193"/>
      <c r="FX3" s="194"/>
      <c r="FY3" s="168"/>
      <c r="FZ3" s="168"/>
      <c r="GA3" s="186"/>
      <c r="GE3" s="188" t="s">
        <v>59</v>
      </c>
      <c r="GF3" s="189"/>
      <c r="GG3" s="188" t="s">
        <v>374</v>
      </c>
      <c r="GI3" s="190"/>
      <c r="GJ3" s="191"/>
      <c r="GK3" s="192"/>
      <c r="GL3" s="193"/>
      <c r="GM3" s="193"/>
      <c r="GN3" s="194"/>
      <c r="GO3" s="168"/>
      <c r="GP3" s="168"/>
      <c r="GQ3" s="186"/>
      <c r="GU3" s="188" t="s">
        <v>59</v>
      </c>
      <c r="GV3" s="189"/>
      <c r="GW3" s="188" t="s">
        <v>374</v>
      </c>
      <c r="GY3" s="190"/>
      <c r="GZ3" s="191"/>
      <c r="HA3" s="192"/>
      <c r="HB3" s="193"/>
      <c r="HC3" s="193"/>
      <c r="HD3" s="194"/>
      <c r="HE3" s="168"/>
      <c r="HF3" s="172"/>
      <c r="HG3" s="172"/>
      <c r="HH3" s="172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.75" x14ac:dyDescent="0.2">
      <c r="B4" s="195" t="s">
        <v>375</v>
      </c>
      <c r="F4" s="196" t="s">
        <v>376</v>
      </c>
      <c r="G4" s="51"/>
      <c r="H4" s="196" t="s">
        <v>376</v>
      </c>
      <c r="J4" s="197"/>
      <c r="K4" s="183"/>
      <c r="M4" s="184"/>
      <c r="O4" s="165"/>
      <c r="P4" s="185"/>
      <c r="R4" s="913"/>
      <c r="V4" s="198" t="s">
        <v>375</v>
      </c>
      <c r="Z4" s="199" t="s">
        <v>376</v>
      </c>
      <c r="AA4" s="200"/>
      <c r="AB4" s="199" t="s">
        <v>376</v>
      </c>
      <c r="AD4" s="201"/>
      <c r="AE4" s="191"/>
      <c r="AF4" s="192"/>
      <c r="AG4" s="193"/>
      <c r="AH4" s="193"/>
      <c r="AI4" s="194"/>
      <c r="AM4" s="198" t="s">
        <v>375</v>
      </c>
      <c r="AQ4" s="199" t="s">
        <v>376</v>
      </c>
      <c r="AR4" s="200"/>
      <c r="AS4" s="199" t="s">
        <v>376</v>
      </c>
      <c r="AU4" s="201"/>
      <c r="AV4" s="191"/>
      <c r="AW4" s="192"/>
      <c r="AX4" s="193"/>
      <c r="AY4" s="193"/>
      <c r="AZ4" s="194"/>
      <c r="BC4" s="198" t="s">
        <v>375</v>
      </c>
      <c r="BG4" s="199" t="s">
        <v>376</v>
      </c>
      <c r="BH4" s="200"/>
      <c r="BI4" s="199" t="s">
        <v>376</v>
      </c>
      <c r="BK4" s="201"/>
      <c r="BL4" s="191"/>
      <c r="BM4" s="192"/>
      <c r="BN4" s="193"/>
      <c r="BO4" s="193"/>
      <c r="BP4" s="194"/>
      <c r="BS4" s="198" t="s">
        <v>375</v>
      </c>
      <c r="BW4" s="199" t="s">
        <v>376</v>
      </c>
      <c r="BX4" s="200"/>
      <c r="BY4" s="199" t="s">
        <v>376</v>
      </c>
      <c r="CA4" s="201"/>
      <c r="CB4" s="191"/>
      <c r="CC4" s="192"/>
      <c r="CD4" s="193"/>
      <c r="CE4" s="193"/>
      <c r="CF4" s="194"/>
      <c r="CI4" s="198" t="s">
        <v>375</v>
      </c>
      <c r="CM4" s="199" t="s">
        <v>376</v>
      </c>
      <c r="CN4" s="200"/>
      <c r="CO4" s="199" t="s">
        <v>376</v>
      </c>
      <c r="CQ4" s="201"/>
      <c r="CR4" s="191"/>
      <c r="CS4" s="192"/>
      <c r="CT4" s="193"/>
      <c r="CU4" s="193"/>
      <c r="CV4" s="194"/>
      <c r="CY4" s="198" t="s">
        <v>375</v>
      </c>
      <c r="DC4" s="199" t="s">
        <v>376</v>
      </c>
      <c r="DD4" s="200"/>
      <c r="DE4" s="199" t="s">
        <v>376</v>
      </c>
      <c r="DG4" s="201"/>
      <c r="DH4" s="191"/>
      <c r="DI4" s="192"/>
      <c r="DJ4" s="193"/>
      <c r="DK4" s="193"/>
      <c r="DL4" s="194"/>
      <c r="DO4" s="198" t="s">
        <v>375</v>
      </c>
      <c r="DS4" s="199" t="s">
        <v>376</v>
      </c>
      <c r="DT4" s="200"/>
      <c r="DU4" s="199" t="s">
        <v>376</v>
      </c>
      <c r="DW4" s="201"/>
      <c r="DX4" s="191"/>
      <c r="DY4" s="192"/>
      <c r="DZ4" s="193"/>
      <c r="EA4" s="193"/>
      <c r="EB4" s="194"/>
      <c r="EE4" s="198" t="s">
        <v>375</v>
      </c>
      <c r="EI4" s="199" t="s">
        <v>376</v>
      </c>
      <c r="EJ4" s="200"/>
      <c r="EK4" s="199" t="s">
        <v>376</v>
      </c>
      <c r="EM4" s="201"/>
      <c r="EN4" s="191"/>
      <c r="EO4" s="192"/>
      <c r="EP4" s="193"/>
      <c r="EQ4" s="193"/>
      <c r="ER4" s="194"/>
      <c r="EU4" s="198" t="s">
        <v>375</v>
      </c>
      <c r="EY4" s="199" t="s">
        <v>376</v>
      </c>
      <c r="EZ4" s="200"/>
      <c r="FA4" s="199" t="s">
        <v>376</v>
      </c>
      <c r="FC4" s="201"/>
      <c r="FD4" s="191"/>
      <c r="FE4" s="192"/>
      <c r="FF4" s="193"/>
      <c r="FG4" s="193"/>
      <c r="FH4" s="194"/>
      <c r="FK4" s="198" t="s">
        <v>375</v>
      </c>
      <c r="FO4" s="199" t="s">
        <v>376</v>
      </c>
      <c r="FP4" s="200"/>
      <c r="FQ4" s="199" t="s">
        <v>376</v>
      </c>
      <c r="FS4" s="201"/>
      <c r="FT4" s="191"/>
      <c r="FU4" s="192"/>
      <c r="FV4" s="193"/>
      <c r="FW4" s="193"/>
      <c r="FX4" s="194"/>
      <c r="GA4" s="198" t="s">
        <v>375</v>
      </c>
      <c r="GE4" s="199" t="s">
        <v>376</v>
      </c>
      <c r="GF4" s="200"/>
      <c r="GG4" s="199" t="s">
        <v>376</v>
      </c>
      <c r="GI4" s="201"/>
      <c r="GJ4" s="191"/>
      <c r="GK4" s="192"/>
      <c r="GL4" s="193"/>
      <c r="GM4" s="193"/>
      <c r="GN4" s="194"/>
      <c r="GQ4" s="198" t="s">
        <v>375</v>
      </c>
      <c r="GU4" s="199" t="s">
        <v>376</v>
      </c>
      <c r="GV4" s="200"/>
      <c r="GW4" s="199" t="s">
        <v>376</v>
      </c>
      <c r="GY4" s="201"/>
      <c r="GZ4" s="191"/>
      <c r="HA4" s="192"/>
      <c r="HB4" s="193"/>
      <c r="HC4" s="193"/>
      <c r="HD4" s="194"/>
      <c r="HF4" s="172"/>
      <c r="HG4" s="172"/>
      <c r="HH4" s="172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x14ac:dyDescent="0.2">
      <c r="B5" s="202" t="s">
        <v>377</v>
      </c>
      <c r="F5" s="196">
        <f>Data!E47</f>
        <v>0</v>
      </c>
      <c r="G5" s="203" t="s">
        <v>378</v>
      </c>
      <c r="H5" s="204">
        <f>SUM(F5*(1-Data!E50))</f>
        <v>0</v>
      </c>
      <c r="I5" s="162" t="s">
        <v>378</v>
      </c>
      <c r="J5" s="205" t="s">
        <v>377</v>
      </c>
      <c r="K5" s="183"/>
      <c r="M5" s="184"/>
      <c r="O5" s="165"/>
      <c r="P5" s="185"/>
      <c r="R5" s="913"/>
      <c r="V5" s="206" t="s">
        <v>377</v>
      </c>
      <c r="Z5" s="207">
        <f>IF($F5=0,0,($F5/$H5)*AB5)</f>
        <v>0</v>
      </c>
      <c r="AA5" s="208" t="s">
        <v>378</v>
      </c>
      <c r="AB5" s="199">
        <f>Graphs!L8</f>
        <v>200</v>
      </c>
      <c r="AC5" s="168" t="s">
        <v>378</v>
      </c>
      <c r="AD5" s="209" t="s">
        <v>377</v>
      </c>
      <c r="AE5" s="191">
        <f>SUM(AB5*X18)/1000</f>
        <v>16</v>
      </c>
      <c r="AF5" s="192">
        <f>SUM(AE5*AC85)*1000</f>
        <v>0</v>
      </c>
      <c r="AG5" s="193"/>
      <c r="AH5" s="193"/>
      <c r="AI5" s="194"/>
      <c r="AM5" s="206" t="s">
        <v>377</v>
      </c>
      <c r="AQ5" s="207">
        <f>IF($F5=0,0,($F5/$H5)*AS5)</f>
        <v>0</v>
      </c>
      <c r="AR5" s="208" t="s">
        <v>378</v>
      </c>
      <c r="AS5" s="199">
        <f>SUM(AB5+Graphs!$L$4)</f>
        <v>225</v>
      </c>
      <c r="AT5" s="168" t="s">
        <v>378</v>
      </c>
      <c r="AU5" s="209" t="s">
        <v>377</v>
      </c>
      <c r="AV5" s="191">
        <f>SUM(AS5*AO18)/1000</f>
        <v>18</v>
      </c>
      <c r="AW5" s="192">
        <f>SUM(AV5*AT85)*1000</f>
        <v>0</v>
      </c>
      <c r="AX5" s="193"/>
      <c r="AY5" s="193"/>
      <c r="AZ5" s="194"/>
      <c r="BC5" s="206" t="s">
        <v>377</v>
      </c>
      <c r="BG5" s="207">
        <f>IF($F5=0,0,($F5/$H5)*BI5)</f>
        <v>0</v>
      </c>
      <c r="BH5" s="208" t="s">
        <v>378</v>
      </c>
      <c r="BI5" s="199">
        <f>SUM(AS5+Graphs!$L$4)</f>
        <v>250</v>
      </c>
      <c r="BJ5" s="168" t="s">
        <v>378</v>
      </c>
      <c r="BK5" s="209" t="s">
        <v>377</v>
      </c>
      <c r="BL5" s="191">
        <f>SUM(BI5*BE18)/1000</f>
        <v>20</v>
      </c>
      <c r="BM5" s="192">
        <f>SUM(BL5*BJ85)*1000</f>
        <v>0</v>
      </c>
      <c r="BN5" s="193"/>
      <c r="BO5" s="193"/>
      <c r="BP5" s="194"/>
      <c r="BS5" s="206" t="s">
        <v>377</v>
      </c>
      <c r="BW5" s="207">
        <f>IF($F5=0,0,($F5/$H5)*BY5)</f>
        <v>0</v>
      </c>
      <c r="BX5" s="208" t="s">
        <v>378</v>
      </c>
      <c r="BY5" s="199">
        <f>SUM(BI5+Graphs!$L$4)</f>
        <v>275</v>
      </c>
      <c r="BZ5" s="168" t="s">
        <v>378</v>
      </c>
      <c r="CA5" s="209" t="s">
        <v>377</v>
      </c>
      <c r="CB5" s="191">
        <f>SUM(BY5*BU18)/1000</f>
        <v>22</v>
      </c>
      <c r="CC5" s="192">
        <f>SUM(CB5*BZ85)*1000</f>
        <v>0</v>
      </c>
      <c r="CD5" s="193"/>
      <c r="CE5" s="193"/>
      <c r="CF5" s="194"/>
      <c r="CI5" s="206" t="s">
        <v>377</v>
      </c>
      <c r="CM5" s="207">
        <f>IF($F5=0,0,($F5/$H5)*CO5)</f>
        <v>0</v>
      </c>
      <c r="CN5" s="208" t="s">
        <v>378</v>
      </c>
      <c r="CO5" s="199">
        <f>SUM(BY5+Graphs!$L$4)</f>
        <v>300</v>
      </c>
      <c r="CP5" s="168" t="s">
        <v>378</v>
      </c>
      <c r="CQ5" s="209" t="s">
        <v>377</v>
      </c>
      <c r="CR5" s="191">
        <f>SUM(CO5*CK18)/1000</f>
        <v>24</v>
      </c>
      <c r="CS5" s="192">
        <f>SUM(CR5*CP85)*1000</f>
        <v>0</v>
      </c>
      <c r="CT5" s="193"/>
      <c r="CU5" s="193"/>
      <c r="CV5" s="194"/>
      <c r="CY5" s="206" t="s">
        <v>377</v>
      </c>
      <c r="DC5" s="207">
        <f>IF($F5=0,0,($F5/$H5)*DE5)</f>
        <v>0</v>
      </c>
      <c r="DD5" s="208" t="s">
        <v>378</v>
      </c>
      <c r="DE5" s="199">
        <f>SUM(CO5+Graphs!$L$4)</f>
        <v>325</v>
      </c>
      <c r="DF5" s="168" t="s">
        <v>378</v>
      </c>
      <c r="DG5" s="209" t="s">
        <v>377</v>
      </c>
      <c r="DH5" s="191">
        <f>SUM(DE5*DA18)/1000</f>
        <v>26</v>
      </c>
      <c r="DI5" s="192">
        <f>SUM(DH5*DF85)*1000</f>
        <v>0</v>
      </c>
      <c r="DJ5" s="193"/>
      <c r="DK5" s="193"/>
      <c r="DL5" s="194"/>
      <c r="DO5" s="206" t="s">
        <v>377</v>
      </c>
      <c r="DS5" s="207">
        <f>IF($F5=0,0,($F5/$H5)*DU5)</f>
        <v>0</v>
      </c>
      <c r="DT5" s="208" t="s">
        <v>378</v>
      </c>
      <c r="DU5" s="199">
        <f>SUM(DE5+Graphs!$L$4)</f>
        <v>350</v>
      </c>
      <c r="DV5" s="168" t="s">
        <v>378</v>
      </c>
      <c r="DW5" s="209" t="s">
        <v>377</v>
      </c>
      <c r="DX5" s="191">
        <f>SUM(DU5*DQ18)/1000</f>
        <v>28</v>
      </c>
      <c r="DY5" s="192">
        <f>SUM(DX5*DV85)*1000</f>
        <v>0</v>
      </c>
      <c r="DZ5" s="193"/>
      <c r="EA5" s="193"/>
      <c r="EB5" s="194"/>
      <c r="EE5" s="206" t="s">
        <v>377</v>
      </c>
      <c r="EI5" s="207">
        <f>IF($F5=0,0,($F5/$H5)*EK5)</f>
        <v>0</v>
      </c>
      <c r="EJ5" s="208" t="s">
        <v>378</v>
      </c>
      <c r="EK5" s="199">
        <f>SUM(DU5+Graphs!$L$4)</f>
        <v>375</v>
      </c>
      <c r="EL5" s="168" t="s">
        <v>378</v>
      </c>
      <c r="EM5" s="209" t="s">
        <v>377</v>
      </c>
      <c r="EN5" s="191">
        <f>SUM(EK5*EG18)/1000</f>
        <v>30</v>
      </c>
      <c r="EO5" s="192">
        <f>SUM(EN5*EL85)*1000</f>
        <v>0</v>
      </c>
      <c r="EP5" s="193"/>
      <c r="EQ5" s="193"/>
      <c r="ER5" s="194"/>
      <c r="EU5" s="206" t="s">
        <v>377</v>
      </c>
      <c r="EY5" s="207">
        <f>IF($F5=0,0,($F5/$H5)*FA5)</f>
        <v>0</v>
      </c>
      <c r="EZ5" s="208" t="s">
        <v>378</v>
      </c>
      <c r="FA5" s="199">
        <f>SUM(EK5+Graphs!$L$4)</f>
        <v>400</v>
      </c>
      <c r="FB5" s="168" t="s">
        <v>378</v>
      </c>
      <c r="FC5" s="209" t="s">
        <v>377</v>
      </c>
      <c r="FD5" s="191">
        <f>SUM(FA5*EW18)/1000</f>
        <v>32</v>
      </c>
      <c r="FE5" s="192">
        <f>SUM(FD5*FB85)*1000</f>
        <v>0</v>
      </c>
      <c r="FF5" s="193"/>
      <c r="FG5" s="193"/>
      <c r="FH5" s="194"/>
      <c r="FK5" s="206" t="s">
        <v>377</v>
      </c>
      <c r="FO5" s="207">
        <f>IF($F5=0,0,($F5/$H5)*FQ5)</f>
        <v>0</v>
      </c>
      <c r="FP5" s="208" t="s">
        <v>378</v>
      </c>
      <c r="FQ5" s="199">
        <f>SUM(FA5+Graphs!$L$4)</f>
        <v>425</v>
      </c>
      <c r="FR5" s="168" t="s">
        <v>378</v>
      </c>
      <c r="FS5" s="209" t="s">
        <v>377</v>
      </c>
      <c r="FT5" s="191">
        <f>SUM(FQ5*FM18)/1000</f>
        <v>34</v>
      </c>
      <c r="FU5" s="192">
        <f>SUM(FT5*FR85)*1000</f>
        <v>0</v>
      </c>
      <c r="FV5" s="193"/>
      <c r="FW5" s="193"/>
      <c r="FX5" s="194"/>
      <c r="GA5" s="206" t="s">
        <v>377</v>
      </c>
      <c r="GE5" s="207">
        <f>IF($F5=0,0,($F5/$H5)*GG5)</f>
        <v>0</v>
      </c>
      <c r="GF5" s="208" t="s">
        <v>378</v>
      </c>
      <c r="GG5" s="199">
        <f>SUM(FQ5+Graphs!$L$4)</f>
        <v>450</v>
      </c>
      <c r="GH5" s="168" t="s">
        <v>378</v>
      </c>
      <c r="GI5" s="209" t="s">
        <v>377</v>
      </c>
      <c r="GJ5" s="191">
        <f>SUM(GG5*GC18)/1000</f>
        <v>36</v>
      </c>
      <c r="GK5" s="192">
        <f>SUM(GJ5*GH85)*1000</f>
        <v>0</v>
      </c>
      <c r="GL5" s="193"/>
      <c r="GM5" s="193"/>
      <c r="GN5" s="194"/>
      <c r="GQ5" s="206" t="s">
        <v>377</v>
      </c>
      <c r="GU5" s="207">
        <f>IF($F5=0,0,($F5/$H5)*GW5)</f>
        <v>0</v>
      </c>
      <c r="GV5" s="208" t="s">
        <v>378</v>
      </c>
      <c r="GW5" s="199">
        <f>SUM(GG5+Graphs!$L$4)</f>
        <v>475</v>
      </c>
      <c r="GX5" s="168" t="s">
        <v>378</v>
      </c>
      <c r="GY5" s="209" t="s">
        <v>377</v>
      </c>
      <c r="GZ5" s="191">
        <f>SUM(GW5*GS18)/1000</f>
        <v>38</v>
      </c>
      <c r="HA5" s="192">
        <f>SUM(GZ5*GX85)*1000</f>
        <v>0</v>
      </c>
      <c r="HB5" s="193"/>
      <c r="HC5" s="193"/>
      <c r="HD5" s="194"/>
      <c r="HF5" s="172"/>
      <c r="HG5" s="172"/>
      <c r="HH5" s="172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x14ac:dyDescent="0.2">
      <c r="B6" s="202" t="s">
        <v>379</v>
      </c>
      <c r="F6" s="196">
        <f>Data!E48</f>
        <v>0</v>
      </c>
      <c r="G6" s="203" t="s">
        <v>378</v>
      </c>
      <c r="H6" s="196">
        <f>SUM(F6*(1-Data!E50))</f>
        <v>0</v>
      </c>
      <c r="I6" s="162" t="s">
        <v>378</v>
      </c>
      <c r="J6" s="205" t="s">
        <v>379</v>
      </c>
      <c r="K6" s="183"/>
      <c r="M6" s="184"/>
      <c r="O6" s="165"/>
      <c r="P6" s="185"/>
      <c r="R6" s="913"/>
      <c r="V6" s="206" t="s">
        <v>379</v>
      </c>
      <c r="Z6" s="207">
        <f>IF($F6=0,0,($F6/$H6)*AB6)</f>
        <v>0</v>
      </c>
      <c r="AA6" s="208" t="s">
        <v>378</v>
      </c>
      <c r="AB6" s="199">
        <f>Graphs!L8</f>
        <v>200</v>
      </c>
      <c r="AC6" s="168" t="s">
        <v>378</v>
      </c>
      <c r="AD6" s="209" t="s">
        <v>379</v>
      </c>
      <c r="AE6" s="191">
        <f>SUM(AB6*X24/1000)</f>
        <v>16</v>
      </c>
      <c r="AF6" s="210">
        <f>SUM(AE6*AC87)*1000</f>
        <v>0</v>
      </c>
      <c r="AG6" s="193"/>
      <c r="AH6" s="193"/>
      <c r="AI6" s="194"/>
      <c r="AM6" s="206" t="s">
        <v>379</v>
      </c>
      <c r="AQ6" s="207">
        <f>IF($F6=0,0,($F6/$H6)*AS6)</f>
        <v>0</v>
      </c>
      <c r="AR6" s="208" t="s">
        <v>378</v>
      </c>
      <c r="AS6" s="199">
        <f>SUM(AB6+Graphs!$AB$5)</f>
        <v>225</v>
      </c>
      <c r="AT6" s="168" t="s">
        <v>378</v>
      </c>
      <c r="AU6" s="209" t="s">
        <v>379</v>
      </c>
      <c r="AV6" s="191">
        <f>SUM(AS6*AO24/1000)</f>
        <v>18</v>
      </c>
      <c r="AW6" s="210">
        <f>SUM(AV6*AT87)*1000</f>
        <v>0</v>
      </c>
      <c r="AX6" s="193"/>
      <c r="AY6" s="193"/>
      <c r="AZ6" s="194"/>
      <c r="BC6" s="206" t="s">
        <v>379</v>
      </c>
      <c r="BG6" s="207">
        <f>IF($F6=0,0,($F6/$H6)*BI6)</f>
        <v>0</v>
      </c>
      <c r="BH6" s="208" t="s">
        <v>378</v>
      </c>
      <c r="BI6" s="199">
        <f>SUM(AS6+Graphs!$AB$5)</f>
        <v>250</v>
      </c>
      <c r="BJ6" s="168" t="s">
        <v>378</v>
      </c>
      <c r="BK6" s="209" t="s">
        <v>379</v>
      </c>
      <c r="BL6" s="191">
        <f>SUM(BI6*BE24/1000)</f>
        <v>20</v>
      </c>
      <c r="BM6" s="210">
        <f>SUM(BL6*BJ87)*1000</f>
        <v>0</v>
      </c>
      <c r="BN6" s="193"/>
      <c r="BO6" s="193"/>
      <c r="BP6" s="194"/>
      <c r="BS6" s="206" t="s">
        <v>379</v>
      </c>
      <c r="BW6" s="207">
        <f>IF($F6=0,0,($F6/$H6)*BY6)</f>
        <v>0</v>
      </c>
      <c r="BX6" s="208" t="s">
        <v>378</v>
      </c>
      <c r="BY6" s="199">
        <f>SUM(BI6+Graphs!$AB$5)</f>
        <v>275</v>
      </c>
      <c r="BZ6" s="168" t="s">
        <v>378</v>
      </c>
      <c r="CA6" s="209" t="s">
        <v>379</v>
      </c>
      <c r="CB6" s="191">
        <f>SUM(BY6*BU24/1000)</f>
        <v>22</v>
      </c>
      <c r="CC6" s="210">
        <f>SUM(CB6*BZ87)*1000</f>
        <v>0</v>
      </c>
      <c r="CD6" s="193"/>
      <c r="CE6" s="193"/>
      <c r="CF6" s="194"/>
      <c r="CI6" s="206" t="s">
        <v>379</v>
      </c>
      <c r="CM6" s="207">
        <f>IF($F6=0,0,($F6/$H6)*CO6)</f>
        <v>0</v>
      </c>
      <c r="CN6" s="208" t="s">
        <v>378</v>
      </c>
      <c r="CO6" s="199">
        <f>SUM(BY6+Graphs!$AB$5)</f>
        <v>300</v>
      </c>
      <c r="CP6" s="168" t="s">
        <v>378</v>
      </c>
      <c r="CQ6" s="209" t="s">
        <v>379</v>
      </c>
      <c r="CR6" s="191">
        <f>SUM(CO6*CK24/1000)</f>
        <v>24</v>
      </c>
      <c r="CS6" s="210">
        <f>SUM(CR6*CP87)*1000</f>
        <v>0</v>
      </c>
      <c r="CT6" s="193"/>
      <c r="CU6" s="193"/>
      <c r="CV6" s="194"/>
      <c r="CY6" s="206" t="s">
        <v>379</v>
      </c>
      <c r="DC6" s="207">
        <f>IF($F6=0,0,($F6/$H6)*DE6)</f>
        <v>0</v>
      </c>
      <c r="DD6" s="208" t="s">
        <v>378</v>
      </c>
      <c r="DE6" s="199">
        <f>SUM(CO6+Graphs!$AB$5)</f>
        <v>325</v>
      </c>
      <c r="DF6" s="168" t="s">
        <v>378</v>
      </c>
      <c r="DG6" s="209" t="s">
        <v>379</v>
      </c>
      <c r="DH6" s="191">
        <f>SUM(DE6*DA24/1000)</f>
        <v>26</v>
      </c>
      <c r="DI6" s="210">
        <f>SUM(DH6*DF87)*1000</f>
        <v>0</v>
      </c>
      <c r="DJ6" s="193"/>
      <c r="DK6" s="193"/>
      <c r="DL6" s="194"/>
      <c r="DO6" s="206" t="s">
        <v>379</v>
      </c>
      <c r="DS6" s="207">
        <f>IF($F6=0,0,($F6/$H6)*DU6)</f>
        <v>0</v>
      </c>
      <c r="DT6" s="208" t="s">
        <v>378</v>
      </c>
      <c r="DU6" s="199">
        <f>SUM(DE6+Graphs!$AB$5)</f>
        <v>350</v>
      </c>
      <c r="DV6" s="168" t="s">
        <v>378</v>
      </c>
      <c r="DW6" s="209" t="s">
        <v>379</v>
      </c>
      <c r="DX6" s="191">
        <f>SUM(DU6*DQ24/1000)</f>
        <v>28</v>
      </c>
      <c r="DY6" s="210">
        <f>SUM(DX6*DV87)*1000</f>
        <v>0</v>
      </c>
      <c r="DZ6" s="193"/>
      <c r="EA6" s="193"/>
      <c r="EB6" s="194"/>
      <c r="EE6" s="206" t="s">
        <v>379</v>
      </c>
      <c r="EI6" s="207">
        <f>IF($F6=0,0,($F6/$H6)*EK6)</f>
        <v>0</v>
      </c>
      <c r="EJ6" s="208" t="s">
        <v>378</v>
      </c>
      <c r="EK6" s="199">
        <f>SUM(DU6+Graphs!$AB$5)</f>
        <v>375</v>
      </c>
      <c r="EL6" s="168" t="s">
        <v>378</v>
      </c>
      <c r="EM6" s="209" t="s">
        <v>379</v>
      </c>
      <c r="EN6" s="191">
        <f>SUM(EK6*EG24/1000)</f>
        <v>30</v>
      </c>
      <c r="EO6" s="210">
        <f>SUM(EN6*EL87)*1000</f>
        <v>0</v>
      </c>
      <c r="EP6" s="193"/>
      <c r="EQ6" s="193"/>
      <c r="ER6" s="194"/>
      <c r="EU6" s="206" t="s">
        <v>379</v>
      </c>
      <c r="EY6" s="207">
        <f>IF($F6=0,0,($F6/$H6)*FA6)</f>
        <v>0</v>
      </c>
      <c r="EZ6" s="208" t="s">
        <v>378</v>
      </c>
      <c r="FA6" s="199">
        <f>SUM(EK6+Graphs!$AB$5)</f>
        <v>400</v>
      </c>
      <c r="FB6" s="168" t="s">
        <v>378</v>
      </c>
      <c r="FC6" s="209" t="s">
        <v>379</v>
      </c>
      <c r="FD6" s="191">
        <f>SUM(FA6*EW24/1000)</f>
        <v>32</v>
      </c>
      <c r="FE6" s="210">
        <f>SUM(FD6*FB87)*1000</f>
        <v>0</v>
      </c>
      <c r="FF6" s="193"/>
      <c r="FG6" s="193"/>
      <c r="FH6" s="194"/>
      <c r="FK6" s="206" t="s">
        <v>379</v>
      </c>
      <c r="FO6" s="207">
        <f>IF($F6=0,0,($F6/$H6)*FQ6)</f>
        <v>0</v>
      </c>
      <c r="FP6" s="208" t="s">
        <v>378</v>
      </c>
      <c r="FQ6" s="199">
        <f>SUM(FA6+Graphs!$AB$5)</f>
        <v>425</v>
      </c>
      <c r="FR6" s="168" t="s">
        <v>378</v>
      </c>
      <c r="FS6" s="209" t="s">
        <v>379</v>
      </c>
      <c r="FT6" s="191">
        <f>SUM(FQ6*FM24/1000)</f>
        <v>34</v>
      </c>
      <c r="FU6" s="210">
        <f>SUM(FT6*FR87)*1000</f>
        <v>0</v>
      </c>
      <c r="FV6" s="193"/>
      <c r="FW6" s="193"/>
      <c r="FX6" s="194"/>
      <c r="GA6" s="206" t="s">
        <v>379</v>
      </c>
      <c r="GE6" s="207">
        <f>IF($F6=0,0,($F6/$H6)*GG6)</f>
        <v>0</v>
      </c>
      <c r="GF6" s="208" t="s">
        <v>378</v>
      </c>
      <c r="GG6" s="199">
        <f>SUM(FQ6+Graphs!$AB$5)</f>
        <v>450</v>
      </c>
      <c r="GH6" s="168" t="s">
        <v>378</v>
      </c>
      <c r="GI6" s="209" t="s">
        <v>379</v>
      </c>
      <c r="GJ6" s="191">
        <f>SUM(GG6*GC24/1000)</f>
        <v>36</v>
      </c>
      <c r="GK6" s="210">
        <f>SUM(GJ6*GH87)*1000</f>
        <v>0</v>
      </c>
      <c r="GL6" s="193"/>
      <c r="GM6" s="193"/>
      <c r="GN6" s="194"/>
      <c r="GQ6" s="206" t="s">
        <v>379</v>
      </c>
      <c r="GU6" s="207">
        <f>IF($F6=0,0,($F6/$H6)*GW6)</f>
        <v>0</v>
      </c>
      <c r="GV6" s="208" t="s">
        <v>378</v>
      </c>
      <c r="GW6" s="199">
        <f>SUM(GG6+Graphs!$AB$5)</f>
        <v>475</v>
      </c>
      <c r="GX6" s="168" t="s">
        <v>378</v>
      </c>
      <c r="GY6" s="209" t="s">
        <v>379</v>
      </c>
      <c r="GZ6" s="191">
        <f>SUM(GW6*GS24/1000)</f>
        <v>38</v>
      </c>
      <c r="HA6" s="210">
        <f>SUM(GZ6*GX87)*1000</f>
        <v>0</v>
      </c>
      <c r="HB6" s="193"/>
      <c r="HC6" s="193"/>
      <c r="HD6" s="194"/>
      <c r="HF6" s="172"/>
      <c r="HG6" s="172"/>
      <c r="HH6" s="172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2.75" x14ac:dyDescent="0.2">
      <c r="B7" s="202" t="s">
        <v>380</v>
      </c>
      <c r="F7" s="211">
        <f>Data!E49</f>
        <v>0</v>
      </c>
      <c r="G7" s="203" t="s">
        <v>378</v>
      </c>
      <c r="H7" s="211">
        <f>SUM(F7*(1-Data!E50))</f>
        <v>0</v>
      </c>
      <c r="I7" s="162" t="s">
        <v>378</v>
      </c>
      <c r="J7" s="205" t="s">
        <v>380</v>
      </c>
      <c r="K7" s="183"/>
      <c r="M7" s="184"/>
      <c r="O7" s="165"/>
      <c r="P7" s="185"/>
      <c r="R7" s="913"/>
      <c r="V7" s="206" t="s">
        <v>380</v>
      </c>
      <c r="Z7" s="207">
        <f>IF($F7=0,0,($F7/$H7)*AB7)</f>
        <v>0</v>
      </c>
      <c r="AA7" s="208" t="s">
        <v>378</v>
      </c>
      <c r="AB7" s="212">
        <f>Graphs!L8</f>
        <v>200</v>
      </c>
      <c r="AC7" s="168" t="s">
        <v>378</v>
      </c>
      <c r="AD7" s="209" t="s">
        <v>380</v>
      </c>
      <c r="AE7" s="213">
        <f>SUM(AB7*X26/1000)</f>
        <v>0</v>
      </c>
      <c r="AF7" s="210">
        <f>SUM(AE7*AC89)*1000</f>
        <v>0</v>
      </c>
      <c r="AG7" s="193"/>
      <c r="AH7" s="193"/>
      <c r="AI7" s="194"/>
      <c r="AM7" s="206" t="s">
        <v>380</v>
      </c>
      <c r="AQ7" s="207">
        <f>IF($F7=0,0,($F7/$H7)*AS7)</f>
        <v>0</v>
      </c>
      <c r="AR7" s="208" t="s">
        <v>378</v>
      </c>
      <c r="AS7" s="199">
        <f>SUM(AB7+Graphs!$AB$6)</f>
        <v>225</v>
      </c>
      <c r="AT7" s="168" t="s">
        <v>378</v>
      </c>
      <c r="AU7" s="209" t="s">
        <v>380</v>
      </c>
      <c r="AV7" s="213">
        <f>SUM(AS7*AO26/1000)</f>
        <v>0</v>
      </c>
      <c r="AW7" s="210">
        <f>SUM(AV7*AT89)*1000</f>
        <v>0</v>
      </c>
      <c r="AX7" s="193"/>
      <c r="AY7" s="193"/>
      <c r="AZ7" s="194"/>
      <c r="BC7" s="206" t="s">
        <v>380</v>
      </c>
      <c r="BG7" s="207">
        <f>IF($F7=0,0,($F7/$H7)*BI7)</f>
        <v>0</v>
      </c>
      <c r="BH7" s="208" t="s">
        <v>378</v>
      </c>
      <c r="BI7" s="199">
        <f>SUM(AS7+Graphs!$AB$6)</f>
        <v>250</v>
      </c>
      <c r="BJ7" s="168" t="s">
        <v>378</v>
      </c>
      <c r="BK7" s="209" t="s">
        <v>380</v>
      </c>
      <c r="BL7" s="213">
        <f>SUM(BI7*BE26/1000)</f>
        <v>0</v>
      </c>
      <c r="BM7" s="210">
        <f>SUM(BL7*BJ89)*1000</f>
        <v>0</v>
      </c>
      <c r="BN7" s="193"/>
      <c r="BO7" s="193"/>
      <c r="BP7" s="194"/>
      <c r="BS7" s="206" t="s">
        <v>380</v>
      </c>
      <c r="BW7" s="207">
        <f>IF($F7=0,0,($F7/$H7)*BY7)</f>
        <v>0</v>
      </c>
      <c r="BX7" s="208" t="s">
        <v>378</v>
      </c>
      <c r="BY7" s="199">
        <f>SUM(BI7+Graphs!$AB$6)</f>
        <v>275</v>
      </c>
      <c r="BZ7" s="168" t="s">
        <v>378</v>
      </c>
      <c r="CA7" s="209" t="s">
        <v>380</v>
      </c>
      <c r="CB7" s="213">
        <f>SUM(BY7*BU26/1000)</f>
        <v>0</v>
      </c>
      <c r="CC7" s="210">
        <f>SUM(CB7*BZ89)*1000</f>
        <v>0</v>
      </c>
      <c r="CD7" s="193"/>
      <c r="CE7" s="193"/>
      <c r="CF7" s="194"/>
      <c r="CI7" s="206" t="s">
        <v>380</v>
      </c>
      <c r="CM7" s="207">
        <f>IF($F7=0,0,($F7/$H7)*CO7)</f>
        <v>0</v>
      </c>
      <c r="CN7" s="208" t="s">
        <v>378</v>
      </c>
      <c r="CO7" s="199">
        <f>SUM(BY7+Graphs!$AB$6)</f>
        <v>300</v>
      </c>
      <c r="CP7" s="168" t="s">
        <v>378</v>
      </c>
      <c r="CQ7" s="209" t="s">
        <v>380</v>
      </c>
      <c r="CR7" s="213">
        <f>SUM(CO7*CK26/1000)</f>
        <v>0</v>
      </c>
      <c r="CS7" s="210">
        <f>SUM(CR7*CP89)*1000</f>
        <v>0</v>
      </c>
      <c r="CT7" s="193"/>
      <c r="CU7" s="193"/>
      <c r="CV7" s="194"/>
      <c r="CY7" s="206" t="s">
        <v>380</v>
      </c>
      <c r="DC7" s="207">
        <f>IF($F7=0,0,($F7/$H7)*DE7)</f>
        <v>0</v>
      </c>
      <c r="DD7" s="208" t="s">
        <v>378</v>
      </c>
      <c r="DE7" s="199">
        <f>SUM(CO7+Graphs!$AB$6)</f>
        <v>325</v>
      </c>
      <c r="DF7" s="168" t="s">
        <v>378</v>
      </c>
      <c r="DG7" s="209" t="s">
        <v>380</v>
      </c>
      <c r="DH7" s="213">
        <f>SUM(DE7*DA26/1000)</f>
        <v>0</v>
      </c>
      <c r="DI7" s="210">
        <f>SUM(DH7*DF89)*1000</f>
        <v>0</v>
      </c>
      <c r="DJ7" s="193"/>
      <c r="DK7" s="193"/>
      <c r="DL7" s="194"/>
      <c r="DO7" s="206" t="s">
        <v>380</v>
      </c>
      <c r="DS7" s="207">
        <f>IF($F7=0,0,($F7/$H7)*DU7)</f>
        <v>0</v>
      </c>
      <c r="DT7" s="208" t="s">
        <v>378</v>
      </c>
      <c r="DU7" s="199">
        <f>SUM(DE7+Graphs!$AB$6)</f>
        <v>350</v>
      </c>
      <c r="DV7" s="168" t="s">
        <v>378</v>
      </c>
      <c r="DW7" s="209" t="s">
        <v>380</v>
      </c>
      <c r="DX7" s="213">
        <f>SUM(DU7*DQ26/1000)</f>
        <v>0</v>
      </c>
      <c r="DY7" s="210">
        <f>SUM(DX7*DV89)*1000</f>
        <v>0</v>
      </c>
      <c r="DZ7" s="193"/>
      <c r="EA7" s="193"/>
      <c r="EB7" s="194"/>
      <c r="EE7" s="206" t="s">
        <v>380</v>
      </c>
      <c r="EI7" s="207">
        <f>IF($F7=0,0,($F7/$H7)*EK7)</f>
        <v>0</v>
      </c>
      <c r="EJ7" s="208" t="s">
        <v>378</v>
      </c>
      <c r="EK7" s="199">
        <f>SUM(DU7+Graphs!$AB$6)</f>
        <v>375</v>
      </c>
      <c r="EL7" s="168" t="s">
        <v>378</v>
      </c>
      <c r="EM7" s="209" t="s">
        <v>380</v>
      </c>
      <c r="EN7" s="213">
        <f>SUM(EK7*EG26/1000)</f>
        <v>0</v>
      </c>
      <c r="EO7" s="210">
        <f>SUM(EN7*EL89)*1000</f>
        <v>0</v>
      </c>
      <c r="EP7" s="193"/>
      <c r="EQ7" s="193"/>
      <c r="ER7" s="194"/>
      <c r="EU7" s="206" t="s">
        <v>380</v>
      </c>
      <c r="EY7" s="207">
        <f>IF($F7=0,0,($F7/$H7)*FA7)</f>
        <v>0</v>
      </c>
      <c r="EZ7" s="208" t="s">
        <v>378</v>
      </c>
      <c r="FA7" s="199">
        <f>SUM(EK7+Graphs!$AB$6)</f>
        <v>400</v>
      </c>
      <c r="FB7" s="168" t="s">
        <v>378</v>
      </c>
      <c r="FC7" s="209" t="s">
        <v>380</v>
      </c>
      <c r="FD7" s="213">
        <f>SUM(FA7*EW26/1000)</f>
        <v>0</v>
      </c>
      <c r="FE7" s="210">
        <f>SUM(FD7*FB89)*1000</f>
        <v>0</v>
      </c>
      <c r="FF7" s="193"/>
      <c r="FG7" s="193"/>
      <c r="FH7" s="194"/>
      <c r="FK7" s="206" t="s">
        <v>380</v>
      </c>
      <c r="FO7" s="207">
        <f>IF($F7=0,0,($F7/$H7)*FQ7)</f>
        <v>0</v>
      </c>
      <c r="FP7" s="208" t="s">
        <v>378</v>
      </c>
      <c r="FQ7" s="199">
        <f>SUM(FA7+Graphs!$AB$6)</f>
        <v>425</v>
      </c>
      <c r="FR7" s="168" t="s">
        <v>378</v>
      </c>
      <c r="FS7" s="209" t="s">
        <v>380</v>
      </c>
      <c r="FT7" s="213">
        <f>SUM(FQ7*FM26/1000)</f>
        <v>0</v>
      </c>
      <c r="FU7" s="210">
        <f>SUM(FT7*FR89)*1000</f>
        <v>0</v>
      </c>
      <c r="FV7" s="193"/>
      <c r="FW7" s="193"/>
      <c r="FX7" s="194"/>
      <c r="GA7" s="206" t="s">
        <v>380</v>
      </c>
      <c r="GE7" s="207">
        <f>IF($F7=0,0,($F7/$H7)*GG7)</f>
        <v>0</v>
      </c>
      <c r="GF7" s="208" t="s">
        <v>378</v>
      </c>
      <c r="GG7" s="199">
        <f>SUM(FQ7+Graphs!$AB$6)</f>
        <v>450</v>
      </c>
      <c r="GH7" s="168" t="s">
        <v>378</v>
      </c>
      <c r="GI7" s="209" t="s">
        <v>380</v>
      </c>
      <c r="GJ7" s="213">
        <f>SUM(GG7*GC26/1000)</f>
        <v>0</v>
      </c>
      <c r="GK7" s="210">
        <f>SUM(GJ7*GH89)*1000</f>
        <v>0</v>
      </c>
      <c r="GL7" s="193"/>
      <c r="GM7" s="193"/>
      <c r="GN7" s="194"/>
      <c r="GQ7" s="206" t="s">
        <v>380</v>
      </c>
      <c r="GU7" s="207">
        <f>IF($F7=0,0,($F7/$H7)*GW7)</f>
        <v>0</v>
      </c>
      <c r="GV7" s="208" t="s">
        <v>378</v>
      </c>
      <c r="GW7" s="199">
        <f>SUM(GG7+Graphs!$AB$6)</f>
        <v>475</v>
      </c>
      <c r="GX7" s="168" t="s">
        <v>378</v>
      </c>
      <c r="GY7" s="209" t="s">
        <v>380</v>
      </c>
      <c r="GZ7" s="213">
        <f>SUM(GW7*GS26/1000)</f>
        <v>0</v>
      </c>
      <c r="HA7" s="210">
        <f>SUM(GZ7*GX89)*1000</f>
        <v>0</v>
      </c>
      <c r="HB7" s="193"/>
      <c r="HC7" s="193"/>
      <c r="HD7" s="194"/>
      <c r="HF7" s="172"/>
      <c r="HG7" s="172"/>
      <c r="HH7" s="172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2.75" x14ac:dyDescent="0.2">
      <c r="B8" s="202" t="s">
        <v>381</v>
      </c>
      <c r="F8" s="211">
        <f>SUM(F9*1000)/D36</f>
        <v>0</v>
      </c>
      <c r="G8" s="203" t="s">
        <v>378</v>
      </c>
      <c r="H8" s="211">
        <f>SUM(H9*1000)/D36</f>
        <v>0</v>
      </c>
      <c r="I8" s="162" t="s">
        <v>378</v>
      </c>
      <c r="J8" s="205" t="s">
        <v>382</v>
      </c>
      <c r="K8" s="183"/>
      <c r="M8" s="184"/>
      <c r="O8" s="165"/>
      <c r="P8" s="185"/>
      <c r="R8" s="913"/>
      <c r="V8" s="214" t="s">
        <v>383</v>
      </c>
      <c r="W8" s="215"/>
      <c r="X8" s="215"/>
      <c r="Y8" s="215"/>
      <c r="Z8" s="216">
        <f>SUM((Z5*X18)+(Z6*X24)+(Z7*X26))/1000</f>
        <v>0</v>
      </c>
      <c r="AA8" s="217" t="s">
        <v>384</v>
      </c>
      <c r="AB8" s="216">
        <f>SUM((AB5*X18)+(AB6*X24)+(AB7*X26))/1000</f>
        <v>32</v>
      </c>
      <c r="AC8" s="215" t="s">
        <v>384</v>
      </c>
      <c r="AD8" s="218"/>
      <c r="AE8" s="191"/>
      <c r="AF8" s="192">
        <f>SUM(AF5:AF7)</f>
        <v>0</v>
      </c>
      <c r="AG8" s="193"/>
      <c r="AH8" s="193"/>
      <c r="AI8" s="194"/>
      <c r="AM8" s="214" t="s">
        <v>383</v>
      </c>
      <c r="AN8" s="215"/>
      <c r="AO8" s="215"/>
      <c r="AP8" s="215"/>
      <c r="AQ8" s="216">
        <f>SUM((AQ5*AO18)+(AQ6*AO24)+(AQ7*AO26))/1000</f>
        <v>0</v>
      </c>
      <c r="AR8" s="217" t="s">
        <v>384</v>
      </c>
      <c r="AS8" s="216">
        <f>SUM((AS5*AO18)+(AS6*AO24)+(AS7*AO26))/1000</f>
        <v>36</v>
      </c>
      <c r="AT8" s="215" t="s">
        <v>384</v>
      </c>
      <c r="AU8" s="218"/>
      <c r="AV8" s="191"/>
      <c r="AW8" s="192">
        <f>SUM(AW5:AW7)</f>
        <v>0</v>
      </c>
      <c r="AX8" s="193"/>
      <c r="AY8" s="193"/>
      <c r="AZ8" s="194"/>
      <c r="BC8" s="214" t="s">
        <v>383</v>
      </c>
      <c r="BD8" s="215"/>
      <c r="BE8" s="215"/>
      <c r="BF8" s="215"/>
      <c r="BG8" s="216">
        <f>SUM((BG5*BE18)+(BG6*BE24)+(BG7*BE26))/1000</f>
        <v>0</v>
      </c>
      <c r="BH8" s="217" t="s">
        <v>384</v>
      </c>
      <c r="BI8" s="216">
        <f>SUM((BI5*BE18)+(BI6*BE24)+(BI7*BE26))/1000</f>
        <v>40</v>
      </c>
      <c r="BJ8" s="215" t="s">
        <v>384</v>
      </c>
      <c r="BK8" s="218"/>
      <c r="BL8" s="191"/>
      <c r="BM8" s="192">
        <f>SUM(BM5:BM7)</f>
        <v>0</v>
      </c>
      <c r="BN8" s="193"/>
      <c r="BO8" s="193"/>
      <c r="BP8" s="194"/>
      <c r="BS8" s="214" t="s">
        <v>383</v>
      </c>
      <c r="BT8" s="215"/>
      <c r="BU8" s="215"/>
      <c r="BV8" s="215"/>
      <c r="BW8" s="216">
        <f>SUM((BW5*BU18)+(BW6*BU24)+(BW7*BU26))/1000</f>
        <v>0</v>
      </c>
      <c r="BX8" s="217" t="s">
        <v>384</v>
      </c>
      <c r="BY8" s="216">
        <f>SUM((BY5*BU18)+(BY6*BU24)+(BY7*BU26))/1000</f>
        <v>44</v>
      </c>
      <c r="BZ8" s="215" t="s">
        <v>384</v>
      </c>
      <c r="CA8" s="218"/>
      <c r="CB8" s="191"/>
      <c r="CC8" s="192">
        <f>SUM(CC5:CC7)</f>
        <v>0</v>
      </c>
      <c r="CD8" s="193"/>
      <c r="CE8" s="193"/>
      <c r="CF8" s="194"/>
      <c r="CI8" s="214" t="s">
        <v>383</v>
      </c>
      <c r="CJ8" s="215"/>
      <c r="CK8" s="215"/>
      <c r="CL8" s="215"/>
      <c r="CM8" s="216">
        <f>SUM((CM5*CK18)+(CM6*CK24)+(CM7*CK26))/1000</f>
        <v>0</v>
      </c>
      <c r="CN8" s="217" t="s">
        <v>384</v>
      </c>
      <c r="CO8" s="216">
        <f>SUM((CO5*CK18)+(CO6*CK24)+(CO7*CK26))/1000</f>
        <v>48</v>
      </c>
      <c r="CP8" s="215" t="s">
        <v>384</v>
      </c>
      <c r="CQ8" s="218"/>
      <c r="CR8" s="191"/>
      <c r="CS8" s="192">
        <f>SUM(CS5:CS7)</f>
        <v>0</v>
      </c>
      <c r="CT8" s="193"/>
      <c r="CU8" s="193"/>
      <c r="CV8" s="194"/>
      <c r="CY8" s="214" t="s">
        <v>383</v>
      </c>
      <c r="CZ8" s="215"/>
      <c r="DA8" s="215"/>
      <c r="DB8" s="215"/>
      <c r="DC8" s="216">
        <f>SUM((DC5*DA18)+(DC6*DA24)+(DC7*DA26))/1000</f>
        <v>0</v>
      </c>
      <c r="DD8" s="217" t="s">
        <v>384</v>
      </c>
      <c r="DE8" s="216">
        <f>SUM((DE5*DA18)+(DE6*DA24)+(DE7*DA26))/1000</f>
        <v>52</v>
      </c>
      <c r="DF8" s="215" t="s">
        <v>384</v>
      </c>
      <c r="DG8" s="218"/>
      <c r="DH8" s="191"/>
      <c r="DI8" s="192">
        <f>SUM(DI5:DI7)</f>
        <v>0</v>
      </c>
      <c r="DJ8" s="193"/>
      <c r="DK8" s="193"/>
      <c r="DL8" s="194"/>
      <c r="DO8" s="214" t="s">
        <v>383</v>
      </c>
      <c r="DP8" s="215"/>
      <c r="DQ8" s="215"/>
      <c r="DR8" s="215"/>
      <c r="DS8" s="216">
        <f>SUM((DS5*DQ18)+(DS6*DQ24)+(DS7*DQ26))/1000</f>
        <v>0</v>
      </c>
      <c r="DT8" s="217" t="s">
        <v>384</v>
      </c>
      <c r="DU8" s="216">
        <f>SUM((DU5*DQ18)+(DU6*DQ24)+(DU7*DQ26))/1000</f>
        <v>56</v>
      </c>
      <c r="DV8" s="215" t="s">
        <v>384</v>
      </c>
      <c r="DW8" s="218"/>
      <c r="DX8" s="191"/>
      <c r="DY8" s="192">
        <f>SUM(DY5:DY7)</f>
        <v>0</v>
      </c>
      <c r="DZ8" s="193"/>
      <c r="EA8" s="193"/>
      <c r="EB8" s="194"/>
      <c r="EE8" s="214" t="s">
        <v>383</v>
      </c>
      <c r="EF8" s="215"/>
      <c r="EG8" s="215"/>
      <c r="EH8" s="215"/>
      <c r="EI8" s="216">
        <f>SUM((EI5*EG18)+(EI6*EG24)+(EI7*EG26))/1000</f>
        <v>0</v>
      </c>
      <c r="EJ8" s="217" t="s">
        <v>384</v>
      </c>
      <c r="EK8" s="216">
        <f>SUM((EK5*EG18)+(EK6*EG24)+(EK7*EG26))/1000</f>
        <v>60</v>
      </c>
      <c r="EL8" s="215" t="s">
        <v>384</v>
      </c>
      <c r="EM8" s="218"/>
      <c r="EN8" s="191"/>
      <c r="EO8" s="192">
        <f>SUM(EO5:EO7)</f>
        <v>0</v>
      </c>
      <c r="EP8" s="193"/>
      <c r="EQ8" s="193"/>
      <c r="ER8" s="194"/>
      <c r="EU8" s="214" t="s">
        <v>383</v>
      </c>
      <c r="EV8" s="215"/>
      <c r="EW8" s="215"/>
      <c r="EX8" s="215"/>
      <c r="EY8" s="216">
        <f>SUM((EY5*EW18)+(EY6*EW24)+(EY7*EW26))/1000</f>
        <v>0</v>
      </c>
      <c r="EZ8" s="217" t="s">
        <v>384</v>
      </c>
      <c r="FA8" s="216">
        <f>SUM((FA5*EW18)+(FA6*EW24)+(FA7*EW26))/1000</f>
        <v>64</v>
      </c>
      <c r="FB8" s="215" t="s">
        <v>384</v>
      </c>
      <c r="FC8" s="218"/>
      <c r="FD8" s="191"/>
      <c r="FE8" s="192">
        <f>SUM(FE5:FE7)</f>
        <v>0</v>
      </c>
      <c r="FF8" s="193"/>
      <c r="FG8" s="193"/>
      <c r="FH8" s="194"/>
      <c r="FK8" s="214" t="s">
        <v>383</v>
      </c>
      <c r="FL8" s="215"/>
      <c r="FM8" s="215"/>
      <c r="FN8" s="215"/>
      <c r="FO8" s="216">
        <f>SUM((FO5*FM18)+(FO6*FM24)+(FO7*FM26))/1000</f>
        <v>0</v>
      </c>
      <c r="FP8" s="217" t="s">
        <v>384</v>
      </c>
      <c r="FQ8" s="216">
        <f>SUM((FQ5*FM18)+(FQ6*FM24)+(FQ7*FM26))/1000</f>
        <v>68</v>
      </c>
      <c r="FR8" s="215" t="s">
        <v>384</v>
      </c>
      <c r="FS8" s="218"/>
      <c r="FT8" s="191"/>
      <c r="FU8" s="192">
        <f>SUM(FU5:FU7)</f>
        <v>0</v>
      </c>
      <c r="FV8" s="193"/>
      <c r="FW8" s="193"/>
      <c r="FX8" s="194"/>
      <c r="GA8" s="214" t="s">
        <v>383</v>
      </c>
      <c r="GB8" s="215"/>
      <c r="GC8" s="215"/>
      <c r="GD8" s="215"/>
      <c r="GE8" s="216">
        <f>SUM((GE5*GC18)+(GE6*GC24)+(GE7*GC26))/1000</f>
        <v>0</v>
      </c>
      <c r="GF8" s="217" t="s">
        <v>384</v>
      </c>
      <c r="GG8" s="216">
        <f>SUM((GG5*GC18)+(GG6*GC24)+(GG7*GC26))/1000</f>
        <v>72</v>
      </c>
      <c r="GH8" s="215" t="s">
        <v>384</v>
      </c>
      <c r="GI8" s="218"/>
      <c r="GJ8" s="191"/>
      <c r="GK8" s="192">
        <f>SUM(GK5:GK7)</f>
        <v>0</v>
      </c>
      <c r="GL8" s="193"/>
      <c r="GM8" s="193"/>
      <c r="GN8" s="194"/>
      <c r="GQ8" s="214" t="s">
        <v>383</v>
      </c>
      <c r="GR8" s="215"/>
      <c r="GS8" s="215"/>
      <c r="GT8" s="215"/>
      <c r="GU8" s="216">
        <f>SUM((GU5*GS18)+(GU6*GS24)+(GU7*GS26))/1000</f>
        <v>0</v>
      </c>
      <c r="GV8" s="217" t="s">
        <v>384</v>
      </c>
      <c r="GW8" s="216">
        <f>SUM((GW5*GS18)+(GW6*GS24)+(GW7*GS26))/1000</f>
        <v>76</v>
      </c>
      <c r="GX8" s="215" t="s">
        <v>384</v>
      </c>
      <c r="GY8" s="218"/>
      <c r="GZ8" s="191"/>
      <c r="HA8" s="192">
        <f>SUM(HA5:HA7)</f>
        <v>0</v>
      </c>
      <c r="HB8" s="193"/>
      <c r="HC8" s="193"/>
      <c r="HD8" s="194"/>
      <c r="HF8" s="172"/>
      <c r="HG8" s="172"/>
      <c r="HH8" s="172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168" customFormat="1" ht="12.75" x14ac:dyDescent="0.2">
      <c r="A9" s="869"/>
      <c r="B9" s="219" t="s">
        <v>383</v>
      </c>
      <c r="C9" s="220"/>
      <c r="D9" s="220"/>
      <c r="E9" s="220"/>
      <c r="F9" s="221">
        <f>SUM((F5*(Data!E12+Data!E10))+(F6*(Data!E17+Data!E15))+(F7*Data!E20))/1000</f>
        <v>0</v>
      </c>
      <c r="G9" s="222" t="s">
        <v>384</v>
      </c>
      <c r="H9" s="221">
        <f>SUM((H5*(Data!E12+Data!E10))+H6*(Data!E17+Data!E15)+(H7*Data!E20))/1000</f>
        <v>0</v>
      </c>
      <c r="I9" s="220" t="s">
        <v>384</v>
      </c>
      <c r="J9" s="223">
        <f>Data!E50</f>
        <v>0.2</v>
      </c>
      <c r="K9" s="183"/>
      <c r="L9" s="163" t="s">
        <v>385</v>
      </c>
      <c r="M9" s="184"/>
      <c r="N9" s="165"/>
      <c r="O9" s="165"/>
      <c r="P9" s="185"/>
      <c r="Q9" s="912"/>
      <c r="R9" s="913"/>
      <c r="S9" s="167"/>
      <c r="V9" s="206"/>
      <c r="AD9" s="191"/>
      <c r="AE9" s="191"/>
      <c r="AF9" s="192"/>
      <c r="AG9" s="224" t="s">
        <v>386</v>
      </c>
      <c r="AH9" s="224"/>
      <c r="AI9" s="224"/>
      <c r="AL9" s="169"/>
      <c r="AM9" s="206"/>
      <c r="AU9" s="191"/>
      <c r="AV9" s="191"/>
      <c r="AW9" s="192"/>
      <c r="AX9" s="224" t="s">
        <v>386</v>
      </c>
      <c r="AY9" s="224"/>
      <c r="AZ9" s="224"/>
      <c r="BC9" s="206"/>
      <c r="BK9" s="191"/>
      <c r="BL9" s="191"/>
      <c r="BM9" s="192"/>
      <c r="BN9" s="224" t="s">
        <v>386</v>
      </c>
      <c r="BO9" s="224"/>
      <c r="BP9" s="224"/>
      <c r="BS9" s="206"/>
      <c r="CA9" s="191"/>
      <c r="CB9" s="191"/>
      <c r="CC9" s="192"/>
      <c r="CD9" s="224" t="s">
        <v>386</v>
      </c>
      <c r="CE9" s="224"/>
      <c r="CF9" s="224"/>
      <c r="CI9" s="206"/>
      <c r="CQ9" s="191"/>
      <c r="CR9" s="191"/>
      <c r="CS9" s="192"/>
      <c r="CT9" s="224" t="s">
        <v>386</v>
      </c>
      <c r="CU9" s="224"/>
      <c r="CV9" s="224"/>
      <c r="CY9" s="206"/>
      <c r="DG9" s="191"/>
      <c r="DH9" s="191"/>
      <c r="DI9" s="192"/>
      <c r="DJ9" s="224" t="s">
        <v>386</v>
      </c>
      <c r="DK9" s="224"/>
      <c r="DL9" s="224"/>
      <c r="DO9" s="206"/>
      <c r="DW9" s="191"/>
      <c r="DX9" s="191"/>
      <c r="DY9" s="192"/>
      <c r="DZ9" s="224" t="s">
        <v>386</v>
      </c>
      <c r="EA9" s="224"/>
      <c r="EB9" s="224"/>
      <c r="EE9" s="206"/>
      <c r="EM9" s="191"/>
      <c r="EN9" s="191"/>
      <c r="EO9" s="192"/>
      <c r="EP9" s="224" t="s">
        <v>386</v>
      </c>
      <c r="EQ9" s="224"/>
      <c r="ER9" s="224"/>
      <c r="EU9" s="206"/>
      <c r="FC9" s="191"/>
      <c r="FD9" s="191"/>
      <c r="FE9" s="192"/>
      <c r="FF9" s="224" t="s">
        <v>386</v>
      </c>
      <c r="FG9" s="224"/>
      <c r="FH9" s="224"/>
      <c r="FK9" s="206"/>
      <c r="FS9" s="191"/>
      <c r="FT9" s="191"/>
      <c r="FU9" s="192"/>
      <c r="FV9" s="224" t="s">
        <v>386</v>
      </c>
      <c r="FW9" s="224"/>
      <c r="FX9" s="224"/>
      <c r="GA9" s="206"/>
      <c r="GI9" s="191"/>
      <c r="GJ9" s="191"/>
      <c r="GK9" s="192"/>
      <c r="GL9" s="224" t="s">
        <v>386</v>
      </c>
      <c r="GM9" s="224"/>
      <c r="GN9" s="224"/>
      <c r="GQ9" s="206"/>
      <c r="GY9" s="191"/>
      <c r="GZ9" s="191"/>
      <c r="HA9" s="192"/>
      <c r="HB9" s="224" t="s">
        <v>386</v>
      </c>
      <c r="HC9" s="224"/>
      <c r="HD9" s="224"/>
      <c r="HF9" s="172"/>
      <c r="HG9" s="172"/>
      <c r="HH9" s="172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168" customFormat="1" ht="12.75" x14ac:dyDescent="0.2">
      <c r="A10" s="869"/>
      <c r="B10" s="202"/>
      <c r="C10" s="162"/>
      <c r="D10" s="162"/>
      <c r="E10" s="162"/>
      <c r="F10" s="183"/>
      <c r="G10" s="183"/>
      <c r="H10" s="225"/>
      <c r="I10" s="162"/>
      <c r="J10" s="183"/>
      <c r="K10" s="183"/>
      <c r="L10" s="163"/>
      <c r="M10" s="184"/>
      <c r="N10" s="915" t="s">
        <v>386</v>
      </c>
      <c r="O10" s="915"/>
      <c r="P10" s="915"/>
      <c r="Q10" s="912"/>
      <c r="R10" s="913"/>
      <c r="S10" s="167"/>
      <c r="V10" s="206"/>
      <c r="AD10" s="191"/>
      <c r="AE10" s="191"/>
      <c r="AF10" s="192"/>
      <c r="AG10" s="227" t="s">
        <v>24</v>
      </c>
      <c r="AH10" s="227" t="s">
        <v>51</v>
      </c>
      <c r="AI10" s="227" t="s">
        <v>387</v>
      </c>
      <c r="AL10" s="169"/>
      <c r="AM10" s="206"/>
      <c r="AU10" s="191"/>
      <c r="AV10" s="191"/>
      <c r="AW10" s="192"/>
      <c r="AX10" s="227" t="s">
        <v>24</v>
      </c>
      <c r="AY10" s="227" t="s">
        <v>51</v>
      </c>
      <c r="AZ10" s="227" t="s">
        <v>387</v>
      </c>
      <c r="BC10" s="206"/>
      <c r="BK10" s="191"/>
      <c r="BL10" s="191"/>
      <c r="BM10" s="192"/>
      <c r="BN10" s="227" t="s">
        <v>24</v>
      </c>
      <c r="BO10" s="227" t="s">
        <v>51</v>
      </c>
      <c r="BP10" s="227" t="s">
        <v>387</v>
      </c>
      <c r="BS10" s="206"/>
      <c r="CA10" s="191"/>
      <c r="CB10" s="191"/>
      <c r="CC10" s="192"/>
      <c r="CD10" s="227" t="s">
        <v>24</v>
      </c>
      <c r="CE10" s="227" t="s">
        <v>51</v>
      </c>
      <c r="CF10" s="227" t="s">
        <v>387</v>
      </c>
      <c r="CI10" s="206"/>
      <c r="CQ10" s="191"/>
      <c r="CR10" s="191"/>
      <c r="CS10" s="192"/>
      <c r="CT10" s="227" t="s">
        <v>24</v>
      </c>
      <c r="CU10" s="227" t="s">
        <v>51</v>
      </c>
      <c r="CV10" s="227" t="s">
        <v>387</v>
      </c>
      <c r="CY10" s="206"/>
      <c r="DG10" s="191"/>
      <c r="DH10" s="191"/>
      <c r="DI10" s="192"/>
      <c r="DJ10" s="227" t="s">
        <v>24</v>
      </c>
      <c r="DK10" s="227" t="s">
        <v>51</v>
      </c>
      <c r="DL10" s="227" t="s">
        <v>387</v>
      </c>
      <c r="DO10" s="206"/>
      <c r="DW10" s="191"/>
      <c r="DX10" s="191"/>
      <c r="DY10" s="192"/>
      <c r="DZ10" s="227" t="s">
        <v>24</v>
      </c>
      <c r="EA10" s="227" t="s">
        <v>51</v>
      </c>
      <c r="EB10" s="227" t="s">
        <v>387</v>
      </c>
      <c r="EE10" s="206"/>
      <c r="EM10" s="191"/>
      <c r="EN10" s="191"/>
      <c r="EO10" s="192"/>
      <c r="EP10" s="227" t="s">
        <v>24</v>
      </c>
      <c r="EQ10" s="227" t="s">
        <v>51</v>
      </c>
      <c r="ER10" s="227" t="s">
        <v>387</v>
      </c>
      <c r="EU10" s="206"/>
      <c r="FC10" s="191"/>
      <c r="FD10" s="191"/>
      <c r="FE10" s="192"/>
      <c r="FF10" s="227" t="s">
        <v>24</v>
      </c>
      <c r="FG10" s="227" t="s">
        <v>51</v>
      </c>
      <c r="FH10" s="227" t="s">
        <v>387</v>
      </c>
      <c r="FK10" s="206"/>
      <c r="FS10" s="191"/>
      <c r="FT10" s="191"/>
      <c r="FU10" s="192"/>
      <c r="FV10" s="227" t="s">
        <v>24</v>
      </c>
      <c r="FW10" s="227" t="s">
        <v>51</v>
      </c>
      <c r="FX10" s="227" t="s">
        <v>387</v>
      </c>
      <c r="GA10" s="206"/>
      <c r="GI10" s="191"/>
      <c r="GJ10" s="191"/>
      <c r="GK10" s="192"/>
      <c r="GL10" s="227" t="s">
        <v>24</v>
      </c>
      <c r="GM10" s="227" t="s">
        <v>51</v>
      </c>
      <c r="GN10" s="227" t="s">
        <v>387</v>
      </c>
      <c r="GQ10" s="206"/>
      <c r="GY10" s="191"/>
      <c r="GZ10" s="191"/>
      <c r="HA10" s="192"/>
      <c r="HB10" s="227" t="s">
        <v>24</v>
      </c>
      <c r="HC10" s="227" t="s">
        <v>51</v>
      </c>
      <c r="HD10" s="227" t="s">
        <v>387</v>
      </c>
      <c r="HF10" s="172"/>
      <c r="HG10" s="172"/>
      <c r="HH10" s="172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2.75" x14ac:dyDescent="0.2">
      <c r="B11" s="202"/>
      <c r="J11" s="183"/>
      <c r="K11" s="183"/>
      <c r="M11" s="184"/>
      <c r="N11" s="228" t="s">
        <v>24</v>
      </c>
      <c r="O11" s="228" t="s">
        <v>51</v>
      </c>
      <c r="P11" s="228" t="s">
        <v>387</v>
      </c>
      <c r="R11" s="913"/>
      <c r="V11" s="229" t="s">
        <v>388</v>
      </c>
      <c r="W11" s="230"/>
      <c r="X11" s="231" t="s">
        <v>376</v>
      </c>
      <c r="Y11" s="230"/>
      <c r="Z11" s="232" t="s">
        <v>389</v>
      </c>
      <c r="AA11" s="215"/>
      <c r="AB11" s="233" t="s">
        <v>390</v>
      </c>
      <c r="AC11" s="215"/>
      <c r="AD11" s="233" t="s">
        <v>45</v>
      </c>
      <c r="AE11" s="233"/>
      <c r="AF11" s="234" t="s">
        <v>61</v>
      </c>
      <c r="AG11" s="224" t="s">
        <v>391</v>
      </c>
      <c r="AH11" s="224" t="s">
        <v>391</v>
      </c>
      <c r="AI11" s="224" t="s">
        <v>391</v>
      </c>
      <c r="AM11" s="229" t="s">
        <v>388</v>
      </c>
      <c r="AN11" s="230"/>
      <c r="AO11" s="231" t="s">
        <v>376</v>
      </c>
      <c r="AP11" s="230"/>
      <c r="AQ11" s="232" t="s">
        <v>389</v>
      </c>
      <c r="AR11" s="215"/>
      <c r="AS11" s="233" t="s">
        <v>390</v>
      </c>
      <c r="AT11" s="215"/>
      <c r="AU11" s="233" t="s">
        <v>45</v>
      </c>
      <c r="AV11" s="233"/>
      <c r="AW11" s="234" t="s">
        <v>61</v>
      </c>
      <c r="AX11" s="224" t="s">
        <v>391</v>
      </c>
      <c r="AY11" s="224" t="s">
        <v>391</v>
      </c>
      <c r="AZ11" s="224" t="s">
        <v>391</v>
      </c>
      <c r="BC11" s="229" t="s">
        <v>388</v>
      </c>
      <c r="BD11" s="230"/>
      <c r="BE11" s="231" t="s">
        <v>376</v>
      </c>
      <c r="BF11" s="230"/>
      <c r="BG11" s="232" t="s">
        <v>389</v>
      </c>
      <c r="BH11" s="215"/>
      <c r="BI11" s="233" t="s">
        <v>390</v>
      </c>
      <c r="BJ11" s="215"/>
      <c r="BK11" s="233" t="s">
        <v>45</v>
      </c>
      <c r="BL11" s="233"/>
      <c r="BM11" s="234" t="s">
        <v>61</v>
      </c>
      <c r="BN11" s="224" t="s">
        <v>391</v>
      </c>
      <c r="BO11" s="224" t="s">
        <v>391</v>
      </c>
      <c r="BP11" s="224" t="s">
        <v>391</v>
      </c>
      <c r="BS11" s="229" t="s">
        <v>388</v>
      </c>
      <c r="BT11" s="230"/>
      <c r="BU11" s="231" t="s">
        <v>376</v>
      </c>
      <c r="BV11" s="230"/>
      <c r="BW11" s="232" t="s">
        <v>389</v>
      </c>
      <c r="BX11" s="215"/>
      <c r="BY11" s="233" t="s">
        <v>390</v>
      </c>
      <c r="BZ11" s="215"/>
      <c r="CA11" s="233" t="s">
        <v>45</v>
      </c>
      <c r="CB11" s="233"/>
      <c r="CC11" s="234" t="s">
        <v>61</v>
      </c>
      <c r="CD11" s="224" t="s">
        <v>391</v>
      </c>
      <c r="CE11" s="224" t="s">
        <v>391</v>
      </c>
      <c r="CF11" s="224" t="s">
        <v>391</v>
      </c>
      <c r="CI11" s="229" t="s">
        <v>388</v>
      </c>
      <c r="CJ11" s="230"/>
      <c r="CK11" s="231" t="s">
        <v>376</v>
      </c>
      <c r="CL11" s="230"/>
      <c r="CM11" s="232" t="s">
        <v>389</v>
      </c>
      <c r="CN11" s="215"/>
      <c r="CO11" s="233" t="s">
        <v>390</v>
      </c>
      <c r="CP11" s="215"/>
      <c r="CQ11" s="233" t="s">
        <v>45</v>
      </c>
      <c r="CR11" s="233"/>
      <c r="CS11" s="234" t="s">
        <v>61</v>
      </c>
      <c r="CT11" s="224" t="s">
        <v>391</v>
      </c>
      <c r="CU11" s="224" t="s">
        <v>391</v>
      </c>
      <c r="CV11" s="224" t="s">
        <v>391</v>
      </c>
      <c r="CY11" s="229" t="s">
        <v>388</v>
      </c>
      <c r="CZ11" s="230"/>
      <c r="DA11" s="231" t="s">
        <v>376</v>
      </c>
      <c r="DB11" s="230"/>
      <c r="DC11" s="232" t="s">
        <v>389</v>
      </c>
      <c r="DD11" s="215"/>
      <c r="DE11" s="233" t="s">
        <v>390</v>
      </c>
      <c r="DF11" s="215"/>
      <c r="DG11" s="233" t="s">
        <v>45</v>
      </c>
      <c r="DH11" s="233"/>
      <c r="DI11" s="234" t="s">
        <v>61</v>
      </c>
      <c r="DJ11" s="224" t="s">
        <v>391</v>
      </c>
      <c r="DK11" s="224" t="s">
        <v>391</v>
      </c>
      <c r="DL11" s="224" t="s">
        <v>391</v>
      </c>
      <c r="DO11" s="229" t="s">
        <v>388</v>
      </c>
      <c r="DP11" s="230"/>
      <c r="DQ11" s="231" t="s">
        <v>376</v>
      </c>
      <c r="DR11" s="230"/>
      <c r="DS11" s="232" t="s">
        <v>389</v>
      </c>
      <c r="DT11" s="215"/>
      <c r="DU11" s="233" t="s">
        <v>390</v>
      </c>
      <c r="DV11" s="215"/>
      <c r="DW11" s="233" t="s">
        <v>45</v>
      </c>
      <c r="DX11" s="233"/>
      <c r="DY11" s="234" t="s">
        <v>61</v>
      </c>
      <c r="DZ11" s="224" t="s">
        <v>391</v>
      </c>
      <c r="EA11" s="224" t="s">
        <v>391</v>
      </c>
      <c r="EB11" s="224" t="s">
        <v>391</v>
      </c>
      <c r="EE11" s="229" t="s">
        <v>388</v>
      </c>
      <c r="EF11" s="230"/>
      <c r="EG11" s="231" t="s">
        <v>376</v>
      </c>
      <c r="EH11" s="230"/>
      <c r="EI11" s="232" t="s">
        <v>389</v>
      </c>
      <c r="EJ11" s="215"/>
      <c r="EK11" s="233" t="s">
        <v>390</v>
      </c>
      <c r="EL11" s="215"/>
      <c r="EM11" s="233" t="s">
        <v>45</v>
      </c>
      <c r="EN11" s="233"/>
      <c r="EO11" s="234" t="s">
        <v>61</v>
      </c>
      <c r="EP11" s="224" t="s">
        <v>391</v>
      </c>
      <c r="EQ11" s="224" t="s">
        <v>391</v>
      </c>
      <c r="ER11" s="224" t="s">
        <v>391</v>
      </c>
      <c r="EU11" s="229" t="s">
        <v>388</v>
      </c>
      <c r="EV11" s="230"/>
      <c r="EW11" s="231" t="s">
        <v>376</v>
      </c>
      <c r="EX11" s="230"/>
      <c r="EY11" s="232" t="s">
        <v>389</v>
      </c>
      <c r="EZ11" s="215"/>
      <c r="FA11" s="233" t="s">
        <v>390</v>
      </c>
      <c r="FB11" s="215"/>
      <c r="FC11" s="233" t="s">
        <v>45</v>
      </c>
      <c r="FD11" s="233"/>
      <c r="FE11" s="234" t="s">
        <v>61</v>
      </c>
      <c r="FF11" s="224" t="s">
        <v>391</v>
      </c>
      <c r="FG11" s="224" t="s">
        <v>391</v>
      </c>
      <c r="FH11" s="224" t="s">
        <v>391</v>
      </c>
      <c r="FK11" s="229" t="s">
        <v>388</v>
      </c>
      <c r="FL11" s="230"/>
      <c r="FM11" s="231" t="s">
        <v>376</v>
      </c>
      <c r="FN11" s="230"/>
      <c r="FO11" s="232" t="s">
        <v>389</v>
      </c>
      <c r="FP11" s="215"/>
      <c r="FQ11" s="233" t="s">
        <v>390</v>
      </c>
      <c r="FR11" s="215"/>
      <c r="FS11" s="233" t="s">
        <v>45</v>
      </c>
      <c r="FT11" s="233"/>
      <c r="FU11" s="234" t="s">
        <v>61</v>
      </c>
      <c r="FV11" s="224" t="s">
        <v>391</v>
      </c>
      <c r="FW11" s="224" t="s">
        <v>391</v>
      </c>
      <c r="FX11" s="224" t="s">
        <v>391</v>
      </c>
      <c r="GA11" s="229" t="s">
        <v>388</v>
      </c>
      <c r="GB11" s="230"/>
      <c r="GC11" s="231" t="s">
        <v>376</v>
      </c>
      <c r="GD11" s="230"/>
      <c r="GE11" s="232" t="s">
        <v>389</v>
      </c>
      <c r="GF11" s="215"/>
      <c r="GG11" s="233" t="s">
        <v>390</v>
      </c>
      <c r="GH11" s="215"/>
      <c r="GI11" s="233" t="s">
        <v>45</v>
      </c>
      <c r="GJ11" s="233"/>
      <c r="GK11" s="234" t="s">
        <v>61</v>
      </c>
      <c r="GL11" s="224" t="s">
        <v>391</v>
      </c>
      <c r="GM11" s="224" t="s">
        <v>391</v>
      </c>
      <c r="GN11" s="224" t="s">
        <v>391</v>
      </c>
      <c r="GQ11" s="229" t="s">
        <v>388</v>
      </c>
      <c r="GR11" s="230"/>
      <c r="GS11" s="231" t="s">
        <v>376</v>
      </c>
      <c r="GT11" s="230"/>
      <c r="GU11" s="232" t="s">
        <v>389</v>
      </c>
      <c r="GV11" s="215"/>
      <c r="GW11" s="233" t="s">
        <v>390</v>
      </c>
      <c r="GX11" s="215"/>
      <c r="GY11" s="233" t="s">
        <v>45</v>
      </c>
      <c r="GZ11" s="233"/>
      <c r="HA11" s="234" t="s">
        <v>61</v>
      </c>
      <c r="HB11" s="224" t="s">
        <v>391</v>
      </c>
      <c r="HC11" s="224" t="s">
        <v>391</v>
      </c>
      <c r="HD11" s="224" t="s">
        <v>391</v>
      </c>
      <c r="HF11" s="172"/>
      <c r="HG11" s="172"/>
      <c r="HH11" s="172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2.75" x14ac:dyDescent="0.2">
      <c r="B12" s="235" t="s">
        <v>388</v>
      </c>
      <c r="C12" s="236"/>
      <c r="D12" s="237" t="s">
        <v>376</v>
      </c>
      <c r="E12" s="236"/>
      <c r="F12" s="238" t="s">
        <v>389</v>
      </c>
      <c r="G12" s="220"/>
      <c r="H12" s="239" t="s">
        <v>390</v>
      </c>
      <c r="I12" s="220"/>
      <c r="J12" s="239" t="s">
        <v>45</v>
      </c>
      <c r="K12" s="239"/>
      <c r="L12" s="240"/>
      <c r="M12" s="241" t="s">
        <v>61</v>
      </c>
      <c r="N12" s="226" t="s">
        <v>391</v>
      </c>
      <c r="O12" s="226" t="s">
        <v>391</v>
      </c>
      <c r="P12" s="226" t="s">
        <v>391</v>
      </c>
      <c r="R12" s="913"/>
      <c r="V12" s="206" t="s">
        <v>392</v>
      </c>
      <c r="X12" s="168">
        <f>$D13</f>
        <v>40</v>
      </c>
      <c r="Z12" s="168">
        <f>$F13</f>
        <v>9</v>
      </c>
      <c r="AB12" s="191">
        <f>$H13</f>
        <v>450</v>
      </c>
      <c r="AD12" s="242">
        <f>$J13</f>
        <v>48.413275685037192</v>
      </c>
      <c r="AE12" s="191"/>
      <c r="AF12" s="243">
        <f t="shared" ref="AF12:AF17" si="0">$M13</f>
        <v>435.71948116533474</v>
      </c>
      <c r="AG12" s="244">
        <f>IF(AB5=0,0,(AF12/AB5)*100)</f>
        <v>217.85974058266734</v>
      </c>
      <c r="AH12" s="244"/>
      <c r="AI12" s="244"/>
      <c r="AM12" s="206" t="s">
        <v>392</v>
      </c>
      <c r="AO12" s="168">
        <f>$D13</f>
        <v>40</v>
      </c>
      <c r="AQ12" s="168">
        <f>$F13</f>
        <v>9</v>
      </c>
      <c r="AS12" s="191">
        <f>$H13</f>
        <v>450</v>
      </c>
      <c r="AU12" s="242">
        <f>$J13</f>
        <v>48.413275685037192</v>
      </c>
      <c r="AV12" s="191"/>
      <c r="AW12" s="243">
        <f t="shared" ref="AW12:AW17" si="1">$M13</f>
        <v>435.71948116533474</v>
      </c>
      <c r="AX12" s="244">
        <f>IF(AS5=0,0,(AW12/AS5)*100)</f>
        <v>193.65310274014877</v>
      </c>
      <c r="AY12" s="244"/>
      <c r="AZ12" s="244"/>
      <c r="BC12" s="206" t="s">
        <v>392</v>
      </c>
      <c r="BE12" s="168">
        <f>$D13</f>
        <v>40</v>
      </c>
      <c r="BG12" s="168">
        <f>$F13</f>
        <v>9</v>
      </c>
      <c r="BI12" s="191">
        <f>$H13</f>
        <v>450</v>
      </c>
      <c r="BK12" s="242">
        <f>$J13</f>
        <v>48.413275685037192</v>
      </c>
      <c r="BL12" s="191"/>
      <c r="BM12" s="243">
        <f t="shared" ref="BM12:BM17" si="2">$M13</f>
        <v>435.71948116533474</v>
      </c>
      <c r="BN12" s="244">
        <f>IF(BI5=0,0,(BM12/BI5)*100)</f>
        <v>174.28779246613391</v>
      </c>
      <c r="BO12" s="244"/>
      <c r="BP12" s="244"/>
      <c r="BS12" s="206" t="s">
        <v>392</v>
      </c>
      <c r="BU12" s="168">
        <f>$D13</f>
        <v>40</v>
      </c>
      <c r="BW12" s="168">
        <f>$F13</f>
        <v>9</v>
      </c>
      <c r="BY12" s="191">
        <f>$H13</f>
        <v>450</v>
      </c>
      <c r="CA12" s="242">
        <f>$J13</f>
        <v>48.413275685037192</v>
      </c>
      <c r="CB12" s="191"/>
      <c r="CC12" s="243">
        <f t="shared" ref="CC12:CC17" si="3">$M13</f>
        <v>435.71948116533474</v>
      </c>
      <c r="CD12" s="244">
        <f>IF(BY5=0,0,(CC12/BY5)*100)</f>
        <v>158.44344769648535</v>
      </c>
      <c r="CE12" s="244"/>
      <c r="CF12" s="244"/>
      <c r="CI12" s="206" t="s">
        <v>392</v>
      </c>
      <c r="CK12" s="168">
        <f>$D13</f>
        <v>40</v>
      </c>
      <c r="CM12" s="168">
        <f>$F13</f>
        <v>9</v>
      </c>
      <c r="CO12" s="191">
        <f>$H13</f>
        <v>450</v>
      </c>
      <c r="CQ12" s="242">
        <f>$J13</f>
        <v>48.413275685037192</v>
      </c>
      <c r="CR12" s="191"/>
      <c r="CS12" s="243">
        <f t="shared" ref="CS12:CS17" si="4">$M13</f>
        <v>435.71948116533474</v>
      </c>
      <c r="CT12" s="244">
        <f>IF(CO5=0,0,(CS12/CO5)*100)</f>
        <v>145.23982705511159</v>
      </c>
      <c r="CU12" s="244"/>
      <c r="CV12" s="244"/>
      <c r="CY12" s="206" t="s">
        <v>392</v>
      </c>
      <c r="DA12" s="168">
        <f>$D13</f>
        <v>40</v>
      </c>
      <c r="DC12" s="168">
        <f>$F13</f>
        <v>9</v>
      </c>
      <c r="DE12" s="191">
        <f>$H13</f>
        <v>450</v>
      </c>
      <c r="DG12" s="242">
        <f>$J13</f>
        <v>48.413275685037192</v>
      </c>
      <c r="DH12" s="191"/>
      <c r="DI12" s="243">
        <f t="shared" ref="DI12:DI17" si="5">$M13</f>
        <v>435.71948116533474</v>
      </c>
      <c r="DJ12" s="244">
        <f>IF(DE5=0,0,(DI12/DE5)*100)</f>
        <v>134.06753266625685</v>
      </c>
      <c r="DK12" s="244"/>
      <c r="DL12" s="244"/>
      <c r="DO12" s="206" t="s">
        <v>392</v>
      </c>
      <c r="DQ12" s="168">
        <f>$D13</f>
        <v>40</v>
      </c>
      <c r="DS12" s="168">
        <f>$F13</f>
        <v>9</v>
      </c>
      <c r="DU12" s="191">
        <f>$H13</f>
        <v>450</v>
      </c>
      <c r="DW12" s="242">
        <f>$J13</f>
        <v>48.413275685037192</v>
      </c>
      <c r="DX12" s="191"/>
      <c r="DY12" s="243">
        <f t="shared" ref="DY12:DY17" si="6">$M13</f>
        <v>435.71948116533474</v>
      </c>
      <c r="DZ12" s="244">
        <f>IF(DU5=0,0,(DY12/DU5)*100)</f>
        <v>124.49128033295278</v>
      </c>
      <c r="EA12" s="244"/>
      <c r="EB12" s="244"/>
      <c r="EE12" s="206" t="s">
        <v>392</v>
      </c>
      <c r="EG12" s="168">
        <f>$D13</f>
        <v>40</v>
      </c>
      <c r="EI12" s="168">
        <f>$F13</f>
        <v>9</v>
      </c>
      <c r="EK12" s="191">
        <f>$H13</f>
        <v>450</v>
      </c>
      <c r="EM12" s="242">
        <f>$J13</f>
        <v>48.413275685037192</v>
      </c>
      <c r="EN12" s="191"/>
      <c r="EO12" s="243">
        <f t="shared" ref="EO12:EO17" si="7">$M13</f>
        <v>435.71948116533474</v>
      </c>
      <c r="EP12" s="244">
        <f>IF(EK5=0,0,(EO12/EK5)*100)</f>
        <v>116.19186164408926</v>
      </c>
      <c r="EQ12" s="244"/>
      <c r="ER12" s="244"/>
      <c r="EU12" s="206" t="s">
        <v>392</v>
      </c>
      <c r="EW12" s="168">
        <f>$D13</f>
        <v>40</v>
      </c>
      <c r="EY12" s="168">
        <f>$F13</f>
        <v>9</v>
      </c>
      <c r="FA12" s="191">
        <f>$H13</f>
        <v>450</v>
      </c>
      <c r="FC12" s="242">
        <f>$J13</f>
        <v>48.413275685037192</v>
      </c>
      <c r="FD12" s="191"/>
      <c r="FE12" s="243">
        <f t="shared" ref="FE12:FE17" si="8">$M13</f>
        <v>435.71948116533474</v>
      </c>
      <c r="FF12" s="244">
        <f>IF(FA5=0,0,(FE12/FA5)*100)</f>
        <v>108.92987029133367</v>
      </c>
      <c r="FG12" s="244"/>
      <c r="FH12" s="244"/>
      <c r="FK12" s="206" t="s">
        <v>392</v>
      </c>
      <c r="FM12" s="168">
        <f>$D13</f>
        <v>40</v>
      </c>
      <c r="FO12" s="168">
        <f>$F13</f>
        <v>9</v>
      </c>
      <c r="FQ12" s="191">
        <f>$H13</f>
        <v>450</v>
      </c>
      <c r="FS12" s="242">
        <f>$J13</f>
        <v>48.413275685037192</v>
      </c>
      <c r="FT12" s="191"/>
      <c r="FU12" s="243">
        <f t="shared" ref="FU12:FU17" si="9">$M13</f>
        <v>435.71948116533474</v>
      </c>
      <c r="FV12" s="244">
        <f>IF(FQ5=0,0,(FU12/FQ5)*100)</f>
        <v>102.52223086243171</v>
      </c>
      <c r="FW12" s="244"/>
      <c r="FX12" s="244"/>
      <c r="GA12" s="206" t="s">
        <v>392</v>
      </c>
      <c r="GC12" s="168">
        <f>$D13</f>
        <v>40</v>
      </c>
      <c r="GE12" s="168">
        <f>$F13</f>
        <v>9</v>
      </c>
      <c r="GG12" s="191">
        <f>$H13</f>
        <v>450</v>
      </c>
      <c r="GI12" s="242">
        <f>$J13</f>
        <v>48.413275685037192</v>
      </c>
      <c r="GJ12" s="191"/>
      <c r="GK12" s="243">
        <f t="shared" ref="GK12:GK17" si="10">$M13</f>
        <v>435.71948116533474</v>
      </c>
      <c r="GL12" s="244">
        <f>IF(GG5=0,0,(GK12/GG5)*100)</f>
        <v>96.826551370074384</v>
      </c>
      <c r="GM12" s="244"/>
      <c r="GN12" s="244"/>
      <c r="GQ12" s="206" t="s">
        <v>392</v>
      </c>
      <c r="GS12" s="168">
        <f>$D13</f>
        <v>40</v>
      </c>
      <c r="GU12" s="168">
        <f>$F13</f>
        <v>9</v>
      </c>
      <c r="GW12" s="191">
        <f>$H13</f>
        <v>450</v>
      </c>
      <c r="GY12" s="242">
        <f>$J13</f>
        <v>48.413275685037192</v>
      </c>
      <c r="GZ12" s="191"/>
      <c r="HA12" s="243">
        <f t="shared" ref="HA12:HA17" si="11">$M13</f>
        <v>435.71948116533474</v>
      </c>
      <c r="HB12" s="244">
        <f>IF(GW5=0,0,(HA12/GW5)*100)</f>
        <v>91.730417087438894</v>
      </c>
      <c r="HC12" s="244"/>
      <c r="HD12" s="244"/>
      <c r="HF12" s="172"/>
      <c r="HG12" s="172"/>
      <c r="HH12" s="17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249" customFormat="1" ht="12.75" x14ac:dyDescent="0.2">
      <c r="A13" s="869"/>
      <c r="B13" s="202" t="s">
        <v>392</v>
      </c>
      <c r="C13" s="162"/>
      <c r="D13" s="162">
        <f>Data!E10</f>
        <v>40</v>
      </c>
      <c r="E13" s="162"/>
      <c r="F13" s="162">
        <f>IF(D13=0,0,Data!E37)</f>
        <v>9</v>
      </c>
      <c r="G13" s="162"/>
      <c r="H13" s="183">
        <f>Data!E34</f>
        <v>450</v>
      </c>
      <c r="I13" s="162"/>
      <c r="J13" s="245">
        <f>IF(M13=0,0,(M13/F13))</f>
        <v>48.413275685037192</v>
      </c>
      <c r="K13" s="183"/>
      <c r="L13" s="246"/>
      <c r="M13" s="247">
        <f>IF(Data!E11=0,0,('Infrastructure Detailed'!AA6))</f>
        <v>435.71948116533474</v>
      </c>
      <c r="N13" s="248">
        <f>IF(H5=0,0,(M13/H5)*100)</f>
        <v>0</v>
      </c>
      <c r="O13" s="248"/>
      <c r="P13" s="248"/>
      <c r="Q13" s="912"/>
      <c r="R13" s="913"/>
      <c r="S13" s="167"/>
      <c r="T13" s="168"/>
      <c r="U13" s="168"/>
      <c r="V13" s="168" t="s">
        <v>393</v>
      </c>
      <c r="AB13" s="213"/>
      <c r="AF13" s="250">
        <f t="shared" si="0"/>
        <v>262.73154808362273</v>
      </c>
      <c r="AG13" s="244">
        <f>IF(AB5=0,0,(AF13/AB5)*100)</f>
        <v>131.36577404181136</v>
      </c>
      <c r="AH13" s="244"/>
      <c r="AI13" s="244"/>
      <c r="AJ13" s="168"/>
      <c r="AK13" s="168"/>
      <c r="AL13" s="169"/>
      <c r="AM13" s="168" t="s">
        <v>393</v>
      </c>
      <c r="AS13" s="213"/>
      <c r="AW13" s="250">
        <f t="shared" si="1"/>
        <v>262.73154808362273</v>
      </c>
      <c r="AX13" s="244">
        <f>IF(AS5=0,0,(AW13/AS5)*100)</f>
        <v>116.76957692605454</v>
      </c>
      <c r="AY13" s="244"/>
      <c r="AZ13" s="244"/>
      <c r="BA13" s="168"/>
      <c r="BB13" s="168"/>
      <c r="BC13" s="168" t="s">
        <v>393</v>
      </c>
      <c r="BI13" s="213"/>
      <c r="BM13" s="250">
        <f t="shared" si="2"/>
        <v>262.73154808362273</v>
      </c>
      <c r="BN13" s="244">
        <f>IF(BI5=0,0,(BM13/BI5)*100)</f>
        <v>105.09261923344908</v>
      </c>
      <c r="BO13" s="244"/>
      <c r="BP13" s="244"/>
      <c r="BQ13" s="168"/>
      <c r="BR13" s="168"/>
      <c r="BS13" s="168" t="s">
        <v>393</v>
      </c>
      <c r="BY13" s="213"/>
      <c r="CC13" s="250">
        <f t="shared" si="3"/>
        <v>262.73154808362273</v>
      </c>
      <c r="CD13" s="244">
        <f>IF(BY5=0,0,(CC13/BY5)*100)</f>
        <v>95.538744757680988</v>
      </c>
      <c r="CE13" s="244"/>
      <c r="CF13" s="244"/>
      <c r="CG13" s="168"/>
      <c r="CH13" s="168"/>
      <c r="CI13" s="168" t="s">
        <v>393</v>
      </c>
      <c r="CO13" s="213"/>
      <c r="CS13" s="250">
        <f t="shared" si="4"/>
        <v>262.73154808362273</v>
      </c>
      <c r="CT13" s="244">
        <f>IF(CO5=0,0,(CS13/CO5)*100)</f>
        <v>87.577182694540909</v>
      </c>
      <c r="CU13" s="244"/>
      <c r="CV13" s="244"/>
      <c r="CW13" s="168"/>
      <c r="CX13" s="168"/>
      <c r="CY13" s="168" t="s">
        <v>393</v>
      </c>
      <c r="DE13" s="213"/>
      <c r="DI13" s="250">
        <f t="shared" si="5"/>
        <v>262.73154808362273</v>
      </c>
      <c r="DJ13" s="244">
        <f>IF(DE5=0,0,(DI13/DE5)*100)</f>
        <v>80.840476333422373</v>
      </c>
      <c r="DK13" s="244"/>
      <c r="DL13" s="244"/>
      <c r="DM13" s="168"/>
      <c r="DN13" s="168"/>
      <c r="DO13" s="168" t="s">
        <v>393</v>
      </c>
      <c r="DU13" s="213"/>
      <c r="DY13" s="250">
        <f t="shared" si="6"/>
        <v>262.73154808362273</v>
      </c>
      <c r="DZ13" s="244">
        <f>IF(DU5=0,0,(DY13/DU5)*100)</f>
        <v>75.066156595320777</v>
      </c>
      <c r="EA13" s="244"/>
      <c r="EB13" s="244"/>
      <c r="EC13" s="168"/>
      <c r="ED13" s="168"/>
      <c r="EE13" s="168" t="s">
        <v>393</v>
      </c>
      <c r="EK13" s="213"/>
      <c r="EO13" s="250">
        <f t="shared" si="7"/>
        <v>262.73154808362273</v>
      </c>
      <c r="EP13" s="244">
        <f>IF(EK5=0,0,(EO13/EK5)*100)</f>
        <v>70.061746155632733</v>
      </c>
      <c r="EQ13" s="244"/>
      <c r="ER13" s="244"/>
      <c r="ES13" s="168"/>
      <c r="ET13" s="168"/>
      <c r="EU13" s="168" t="s">
        <v>393</v>
      </c>
      <c r="FA13" s="213"/>
      <c r="FE13" s="250">
        <f t="shared" si="8"/>
        <v>262.73154808362273</v>
      </c>
      <c r="FF13" s="244">
        <f>IF(FA5=0,0,(FE13/FA5)*100)</f>
        <v>65.682887020905682</v>
      </c>
      <c r="FG13" s="244"/>
      <c r="FH13" s="244"/>
      <c r="FI13" s="168"/>
      <c r="FJ13" s="168"/>
      <c r="FK13" s="168" t="s">
        <v>393</v>
      </c>
      <c r="FQ13" s="213"/>
      <c r="FU13" s="250">
        <f t="shared" si="9"/>
        <v>262.73154808362273</v>
      </c>
      <c r="FV13" s="244">
        <f>IF(FQ5=0,0,(FU13/FQ5)*100)</f>
        <v>61.819187784381811</v>
      </c>
      <c r="FW13" s="244"/>
      <c r="FX13" s="244"/>
      <c r="FY13" s="168"/>
      <c r="FZ13" s="168"/>
      <c r="GA13" s="168" t="s">
        <v>393</v>
      </c>
      <c r="GG13" s="213"/>
      <c r="GK13" s="250">
        <f t="shared" si="10"/>
        <v>262.73154808362273</v>
      </c>
      <c r="GL13" s="244">
        <f>IF(GG5=0,0,(GK13/GG5)*100)</f>
        <v>58.38478846302727</v>
      </c>
      <c r="GM13" s="244"/>
      <c r="GN13" s="244"/>
      <c r="GO13" s="168"/>
      <c r="GP13" s="168"/>
      <c r="GQ13" s="168" t="s">
        <v>393</v>
      </c>
      <c r="GW13" s="213"/>
      <c r="HA13" s="250">
        <f t="shared" si="11"/>
        <v>262.73154808362273</v>
      </c>
      <c r="HB13" s="244">
        <f>IF(GW5=0,0,(HA13/GW5)*100)</f>
        <v>55.311904859710047</v>
      </c>
      <c r="HC13" s="244"/>
      <c r="HD13" s="244"/>
      <c r="HE13" s="168"/>
      <c r="HF13" s="172"/>
      <c r="HG13" s="172"/>
      <c r="HH13" s="172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2.75" x14ac:dyDescent="0.2">
      <c r="B14" s="251" t="s">
        <v>393</v>
      </c>
      <c r="C14" s="252"/>
      <c r="D14" s="252"/>
      <c r="E14" s="252"/>
      <c r="F14" s="252"/>
      <c r="G14" s="252"/>
      <c r="H14" s="253"/>
      <c r="I14" s="252"/>
      <c r="J14" s="252"/>
      <c r="K14" s="252"/>
      <c r="L14" s="254">
        <f>SUM(M13:M14)</f>
        <v>698.45102924895741</v>
      </c>
      <c r="M14" s="255">
        <f>IF(Data!E10=0,0,('Infrastructure Detailed'!Q6*Data!E11+'Infrastructure Detailed'!CS6))</f>
        <v>262.73154808362273</v>
      </c>
      <c r="N14" s="248">
        <f>IF(H5=0,0,(M14/H5)*100)</f>
        <v>0</v>
      </c>
      <c r="O14" s="248"/>
      <c r="P14" s="248"/>
      <c r="R14" s="913"/>
      <c r="V14" s="206" t="s">
        <v>394</v>
      </c>
      <c r="X14" s="168">
        <f>$D15</f>
        <v>40</v>
      </c>
      <c r="Z14" s="168">
        <f>$F15</f>
        <v>9</v>
      </c>
      <c r="AB14" s="191">
        <f>AB12</f>
        <v>450</v>
      </c>
      <c r="AD14" s="242">
        <f>$J15</f>
        <v>39.773236100195305</v>
      </c>
      <c r="AE14" s="191"/>
      <c r="AF14" s="243">
        <f t="shared" si="0"/>
        <v>357.95912490175778</v>
      </c>
      <c r="AG14" s="244">
        <f>IF(AB5=0,0,(AF14/AB5)*100)</f>
        <v>178.97956245087889</v>
      </c>
      <c r="AH14" s="244"/>
      <c r="AI14" s="244"/>
      <c r="AM14" s="206" t="s">
        <v>394</v>
      </c>
      <c r="AO14" s="168">
        <f>$D15</f>
        <v>40</v>
      </c>
      <c r="AQ14" s="168">
        <f>$F15</f>
        <v>9</v>
      </c>
      <c r="AS14" s="191">
        <f>AS12</f>
        <v>450</v>
      </c>
      <c r="AU14" s="242">
        <f>$J15</f>
        <v>39.773236100195305</v>
      </c>
      <c r="AV14" s="191"/>
      <c r="AW14" s="243">
        <f t="shared" si="1"/>
        <v>357.95912490175778</v>
      </c>
      <c r="AX14" s="244">
        <f>IF(AS5=0,0,(AW14/AS5)*100)</f>
        <v>159.09294440078122</v>
      </c>
      <c r="AY14" s="244"/>
      <c r="AZ14" s="244"/>
      <c r="BC14" s="206" t="s">
        <v>394</v>
      </c>
      <c r="BE14" s="168">
        <f>$D15</f>
        <v>40</v>
      </c>
      <c r="BG14" s="168">
        <f>$F15</f>
        <v>9</v>
      </c>
      <c r="BI14" s="191">
        <f>BI12</f>
        <v>450</v>
      </c>
      <c r="BK14" s="242">
        <f>$J15</f>
        <v>39.773236100195305</v>
      </c>
      <c r="BL14" s="191"/>
      <c r="BM14" s="243">
        <f t="shared" si="2"/>
        <v>357.95912490175778</v>
      </c>
      <c r="BN14" s="244">
        <f>IF(BI5=0,0,(BM14/BI5)*100)</f>
        <v>143.18364996070312</v>
      </c>
      <c r="BO14" s="244"/>
      <c r="BP14" s="244"/>
      <c r="BS14" s="206" t="s">
        <v>394</v>
      </c>
      <c r="BU14" s="168">
        <f>$D15</f>
        <v>40</v>
      </c>
      <c r="BW14" s="168">
        <f>$F15</f>
        <v>9</v>
      </c>
      <c r="BY14" s="191">
        <f>BY12</f>
        <v>450</v>
      </c>
      <c r="CA14" s="242">
        <f>$J15</f>
        <v>39.773236100195305</v>
      </c>
      <c r="CB14" s="191"/>
      <c r="CC14" s="243">
        <f t="shared" si="3"/>
        <v>357.95912490175778</v>
      </c>
      <c r="CD14" s="244">
        <f>IF(BY5=0,0,(CC14/BY5)*100)</f>
        <v>130.16695450973009</v>
      </c>
      <c r="CE14" s="244"/>
      <c r="CF14" s="244"/>
      <c r="CI14" s="206" t="s">
        <v>394</v>
      </c>
      <c r="CK14" s="168">
        <f>$D15</f>
        <v>40</v>
      </c>
      <c r="CM14" s="168">
        <f>$F15</f>
        <v>9</v>
      </c>
      <c r="CO14" s="191">
        <f>CO12</f>
        <v>450</v>
      </c>
      <c r="CQ14" s="242">
        <f>$J15</f>
        <v>39.773236100195305</v>
      </c>
      <c r="CR14" s="191"/>
      <c r="CS14" s="243">
        <f t="shared" si="4"/>
        <v>357.95912490175778</v>
      </c>
      <c r="CT14" s="244">
        <f>IF(CO5=0,0,(CS14/CO5)*100)</f>
        <v>119.31970830058593</v>
      </c>
      <c r="CU14" s="244"/>
      <c r="CV14" s="244"/>
      <c r="CY14" s="206" t="s">
        <v>394</v>
      </c>
      <c r="DA14" s="168">
        <f>$D15</f>
        <v>40</v>
      </c>
      <c r="DC14" s="168">
        <f>$F15</f>
        <v>9</v>
      </c>
      <c r="DE14" s="191">
        <f>DE12</f>
        <v>450</v>
      </c>
      <c r="DG14" s="242">
        <f>$J15</f>
        <v>39.773236100195305</v>
      </c>
      <c r="DH14" s="191"/>
      <c r="DI14" s="243">
        <f t="shared" si="5"/>
        <v>357.95912490175778</v>
      </c>
      <c r="DJ14" s="244">
        <f>IF(DE5=0,0,(DI14/DE5)*100)</f>
        <v>110.14126920054086</v>
      </c>
      <c r="DK14" s="244"/>
      <c r="DL14" s="244"/>
      <c r="DO14" s="206" t="s">
        <v>394</v>
      </c>
      <c r="DQ14" s="168">
        <f>$D15</f>
        <v>40</v>
      </c>
      <c r="DS14" s="168">
        <f>$F15</f>
        <v>9</v>
      </c>
      <c r="DU14" s="191">
        <f>DU12</f>
        <v>450</v>
      </c>
      <c r="DW14" s="242">
        <f>$J15</f>
        <v>39.773236100195305</v>
      </c>
      <c r="DX14" s="191"/>
      <c r="DY14" s="243">
        <f t="shared" si="6"/>
        <v>357.95912490175778</v>
      </c>
      <c r="DZ14" s="244">
        <f>IF(DU5=0,0,(DY14/DU5)*100)</f>
        <v>102.27403568621651</v>
      </c>
      <c r="EA14" s="244"/>
      <c r="EB14" s="244"/>
      <c r="EE14" s="206" t="s">
        <v>394</v>
      </c>
      <c r="EG14" s="168">
        <f>$D15</f>
        <v>40</v>
      </c>
      <c r="EI14" s="168">
        <f>$F15</f>
        <v>9</v>
      </c>
      <c r="EK14" s="191">
        <f>EK12</f>
        <v>450</v>
      </c>
      <c r="EM14" s="242">
        <f>$J15</f>
        <v>39.773236100195305</v>
      </c>
      <c r="EN14" s="191"/>
      <c r="EO14" s="243">
        <f t="shared" si="7"/>
        <v>357.95912490175778</v>
      </c>
      <c r="EP14" s="244">
        <f>IF(EK5=0,0,(EO14/EK5)*100)</f>
        <v>95.455766640468738</v>
      </c>
      <c r="EQ14" s="244"/>
      <c r="ER14" s="244"/>
      <c r="EU14" s="206" t="s">
        <v>394</v>
      </c>
      <c r="EW14" s="168">
        <f>$D15</f>
        <v>40</v>
      </c>
      <c r="EY14" s="168">
        <f>$F15</f>
        <v>9</v>
      </c>
      <c r="FA14" s="191">
        <f>FA12</f>
        <v>450</v>
      </c>
      <c r="FC14" s="242">
        <f>$J15</f>
        <v>39.773236100195305</v>
      </c>
      <c r="FD14" s="191"/>
      <c r="FE14" s="243">
        <f t="shared" si="8"/>
        <v>357.95912490175778</v>
      </c>
      <c r="FF14" s="244">
        <f>IF(FA5=0,0,(FE14/FA5)*100)</f>
        <v>89.489781225439444</v>
      </c>
      <c r="FG14" s="244"/>
      <c r="FH14" s="244"/>
      <c r="FK14" s="206" t="s">
        <v>394</v>
      </c>
      <c r="FM14" s="168">
        <f>$D15</f>
        <v>40</v>
      </c>
      <c r="FO14" s="168">
        <f>$F15</f>
        <v>9</v>
      </c>
      <c r="FQ14" s="191">
        <f>FQ12</f>
        <v>450</v>
      </c>
      <c r="FS14" s="242">
        <f>$J15</f>
        <v>39.773236100195305</v>
      </c>
      <c r="FT14" s="191"/>
      <c r="FU14" s="243">
        <f t="shared" si="9"/>
        <v>357.95912490175778</v>
      </c>
      <c r="FV14" s="244">
        <f>IF(FQ5=0,0,(FU14/FQ5)*100)</f>
        <v>84.225676447472424</v>
      </c>
      <c r="FW14" s="244"/>
      <c r="FX14" s="244"/>
      <c r="GA14" s="206" t="s">
        <v>394</v>
      </c>
      <c r="GC14" s="168">
        <f>$D15</f>
        <v>40</v>
      </c>
      <c r="GE14" s="168">
        <f>$F15</f>
        <v>9</v>
      </c>
      <c r="GG14" s="191">
        <f>GG12</f>
        <v>450</v>
      </c>
      <c r="GI14" s="242">
        <f>$J15</f>
        <v>39.773236100195305</v>
      </c>
      <c r="GJ14" s="191"/>
      <c r="GK14" s="243">
        <f t="shared" si="10"/>
        <v>357.95912490175778</v>
      </c>
      <c r="GL14" s="244">
        <f>IF(GG5=0,0,(GK14/GG5)*100)</f>
        <v>79.54647220039061</v>
      </c>
      <c r="GM14" s="244"/>
      <c r="GN14" s="244"/>
      <c r="GQ14" s="206" t="s">
        <v>394</v>
      </c>
      <c r="GS14" s="168">
        <f>$D15</f>
        <v>40</v>
      </c>
      <c r="GU14" s="168">
        <f>$F15</f>
        <v>9</v>
      </c>
      <c r="GW14" s="191">
        <f>GW12</f>
        <v>450</v>
      </c>
      <c r="GY14" s="242">
        <f>$J15</f>
        <v>39.773236100195305</v>
      </c>
      <c r="GZ14" s="191"/>
      <c r="HA14" s="243">
        <f t="shared" si="11"/>
        <v>357.95912490175778</v>
      </c>
      <c r="HB14" s="244">
        <f>IF(GW5=0,0,(HA14/GW5)*100)</f>
        <v>75.359815768791108</v>
      </c>
      <c r="HC14" s="244"/>
      <c r="HD14" s="244"/>
      <c r="HF14" s="172"/>
      <c r="HG14" s="172"/>
      <c r="HH14" s="172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168" customFormat="1" ht="12.75" x14ac:dyDescent="0.2">
      <c r="A15" s="869"/>
      <c r="B15" s="202" t="s">
        <v>394</v>
      </c>
      <c r="C15" s="162"/>
      <c r="D15" s="162">
        <f>Data!E12</f>
        <v>40</v>
      </c>
      <c r="E15" s="162"/>
      <c r="F15" s="162">
        <f>IF(D15=0,0,Data!E37)</f>
        <v>9</v>
      </c>
      <c r="G15" s="162"/>
      <c r="H15" s="183">
        <f>H13</f>
        <v>450</v>
      </c>
      <c r="I15" s="162"/>
      <c r="J15" s="245">
        <f>IF(M15=0,0,(M15/F15))</f>
        <v>39.773236100195305</v>
      </c>
      <c r="K15" s="183"/>
      <c r="L15" s="256"/>
      <c r="M15" s="247">
        <f>IF(Data!E13=0,0,('Infrastructure Detailed'!AK6))</f>
        <v>357.95912490175778</v>
      </c>
      <c r="N15" s="248">
        <f>IF(H5=0,0,(M15/H5)*100)</f>
        <v>0</v>
      </c>
      <c r="O15" s="248"/>
      <c r="P15" s="248"/>
      <c r="Q15" s="912"/>
      <c r="R15" s="913"/>
      <c r="S15" s="167"/>
      <c r="V15" s="206" t="s">
        <v>395</v>
      </c>
      <c r="AB15" s="191"/>
      <c r="AD15" s="242"/>
      <c r="AE15" s="191"/>
      <c r="AF15" s="243">
        <f t="shared" si="0"/>
        <v>262.73154808362273</v>
      </c>
      <c r="AG15" s="244">
        <f>IF(AB5=0,0,(AF15/AB5)*100)</f>
        <v>131.36577404181136</v>
      </c>
      <c r="AH15" s="244"/>
      <c r="AI15" s="244"/>
      <c r="AL15" s="169"/>
      <c r="AM15" s="206" t="s">
        <v>395</v>
      </c>
      <c r="AS15" s="191"/>
      <c r="AU15" s="242"/>
      <c r="AV15" s="191"/>
      <c r="AW15" s="243">
        <f t="shared" si="1"/>
        <v>262.73154808362273</v>
      </c>
      <c r="AX15" s="244">
        <f>IF(AS5=0,0,(AW15/AS5)*100)</f>
        <v>116.76957692605454</v>
      </c>
      <c r="AY15" s="244"/>
      <c r="AZ15" s="244"/>
      <c r="BC15" s="206" t="s">
        <v>395</v>
      </c>
      <c r="BI15" s="191"/>
      <c r="BK15" s="242"/>
      <c r="BL15" s="191"/>
      <c r="BM15" s="243">
        <f t="shared" si="2"/>
        <v>262.73154808362273</v>
      </c>
      <c r="BN15" s="244">
        <f>IF(BI5=0,0,(BM15/BI5)*100)</f>
        <v>105.09261923344908</v>
      </c>
      <c r="BO15" s="244"/>
      <c r="BP15" s="244"/>
      <c r="BS15" s="206" t="s">
        <v>395</v>
      </c>
      <c r="BY15" s="191"/>
      <c r="CA15" s="242"/>
      <c r="CB15" s="191"/>
      <c r="CC15" s="243">
        <f t="shared" si="3"/>
        <v>262.73154808362273</v>
      </c>
      <c r="CD15" s="244">
        <f>IF(BY5=0,0,(CC15/BY5)*100)</f>
        <v>95.538744757680988</v>
      </c>
      <c r="CE15" s="244"/>
      <c r="CF15" s="244"/>
      <c r="CI15" s="206" t="s">
        <v>395</v>
      </c>
      <c r="CO15" s="191"/>
      <c r="CQ15" s="242"/>
      <c r="CR15" s="191"/>
      <c r="CS15" s="243">
        <f t="shared" si="4"/>
        <v>262.73154808362273</v>
      </c>
      <c r="CT15" s="244">
        <f>IF(CO5=0,0,(CS15/CO5)*100)</f>
        <v>87.577182694540909</v>
      </c>
      <c r="CU15" s="244"/>
      <c r="CV15" s="244"/>
      <c r="CY15" s="206" t="s">
        <v>395</v>
      </c>
      <c r="DE15" s="191"/>
      <c r="DG15" s="242"/>
      <c r="DH15" s="191"/>
      <c r="DI15" s="243">
        <f t="shared" si="5"/>
        <v>262.73154808362273</v>
      </c>
      <c r="DJ15" s="244">
        <f>IF(DE5=0,0,(DI15/DE5)*100)</f>
        <v>80.840476333422373</v>
      </c>
      <c r="DK15" s="244"/>
      <c r="DL15" s="244"/>
      <c r="DO15" s="206" t="s">
        <v>395</v>
      </c>
      <c r="DU15" s="191"/>
      <c r="DW15" s="242"/>
      <c r="DX15" s="191"/>
      <c r="DY15" s="243">
        <f t="shared" si="6"/>
        <v>262.73154808362273</v>
      </c>
      <c r="DZ15" s="244">
        <f>IF(DU5=0,0,(DY15/DU5)*100)</f>
        <v>75.066156595320777</v>
      </c>
      <c r="EA15" s="244"/>
      <c r="EB15" s="244"/>
      <c r="EE15" s="206" t="s">
        <v>395</v>
      </c>
      <c r="EK15" s="191"/>
      <c r="EM15" s="242"/>
      <c r="EN15" s="191"/>
      <c r="EO15" s="243">
        <f t="shared" si="7"/>
        <v>262.73154808362273</v>
      </c>
      <c r="EP15" s="244">
        <f>IF(EK5=0,0,(EO15/EK5)*100)</f>
        <v>70.061746155632733</v>
      </c>
      <c r="EQ15" s="244"/>
      <c r="ER15" s="244"/>
      <c r="EU15" s="206" t="s">
        <v>395</v>
      </c>
      <c r="FA15" s="191"/>
      <c r="FC15" s="242"/>
      <c r="FD15" s="191"/>
      <c r="FE15" s="243">
        <f t="shared" si="8"/>
        <v>262.73154808362273</v>
      </c>
      <c r="FF15" s="244">
        <f>IF(FA5=0,0,(FE15/FA5)*100)</f>
        <v>65.682887020905682</v>
      </c>
      <c r="FG15" s="244"/>
      <c r="FH15" s="244"/>
      <c r="FK15" s="206" t="s">
        <v>395</v>
      </c>
      <c r="FQ15" s="191"/>
      <c r="FS15" s="242"/>
      <c r="FT15" s="191"/>
      <c r="FU15" s="243">
        <f t="shared" si="9"/>
        <v>262.73154808362273</v>
      </c>
      <c r="FV15" s="244">
        <f>IF(FQ5=0,0,(FU15/FQ5)*100)</f>
        <v>61.819187784381811</v>
      </c>
      <c r="FW15" s="244"/>
      <c r="FX15" s="244"/>
      <c r="GA15" s="206" t="s">
        <v>395</v>
      </c>
      <c r="GG15" s="191"/>
      <c r="GI15" s="242"/>
      <c r="GJ15" s="191"/>
      <c r="GK15" s="243">
        <f t="shared" si="10"/>
        <v>262.73154808362273</v>
      </c>
      <c r="GL15" s="244">
        <f>IF(GG5=0,0,(GK15/GG5)*100)</f>
        <v>58.38478846302727</v>
      </c>
      <c r="GM15" s="244"/>
      <c r="GN15" s="244"/>
      <c r="GQ15" s="206" t="s">
        <v>395</v>
      </c>
      <c r="GW15" s="191"/>
      <c r="GY15" s="242"/>
      <c r="GZ15" s="191"/>
      <c r="HA15" s="243">
        <f t="shared" si="11"/>
        <v>262.73154808362273</v>
      </c>
      <c r="HB15" s="244">
        <f>IF(GW5=0,0,(HA15/GW5)*100)</f>
        <v>55.311904859710047</v>
      </c>
      <c r="HC15" s="244"/>
      <c r="HD15" s="244"/>
      <c r="HF15" s="172"/>
      <c r="HG15" s="172"/>
      <c r="HH15" s="172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168" customFormat="1" ht="12.75" x14ac:dyDescent="0.2">
      <c r="A16" s="869"/>
      <c r="B16" s="257" t="s">
        <v>395</v>
      </c>
      <c r="C16" s="258"/>
      <c r="D16" s="258"/>
      <c r="E16" s="258"/>
      <c r="F16" s="258"/>
      <c r="G16" s="258"/>
      <c r="H16" s="259"/>
      <c r="I16" s="258"/>
      <c r="J16" s="260"/>
      <c r="K16" s="259"/>
      <c r="L16" s="254">
        <f>SUM(M15:M16)</f>
        <v>620.6906729853805</v>
      </c>
      <c r="M16" s="261">
        <f>IF(Data!E12=0,0,('Infrastructure Detailed'!Q6*Data!E13))</f>
        <v>262.73154808362273</v>
      </c>
      <c r="N16" s="248">
        <f>IF(H5=0,0,(M16/H5)*100)</f>
        <v>0</v>
      </c>
      <c r="O16" s="248"/>
      <c r="P16" s="248"/>
      <c r="Q16" s="912"/>
      <c r="R16" s="913"/>
      <c r="S16" s="167"/>
      <c r="V16" s="206" t="s">
        <v>396</v>
      </c>
      <c r="AB16" s="191"/>
      <c r="AD16" s="191"/>
      <c r="AE16" s="191"/>
      <c r="AF16" s="243">
        <f t="shared" si="0"/>
        <v>0</v>
      </c>
      <c r="AG16" s="244">
        <f>IF(AB5=0,0,(AF16/AB5)*100)</f>
        <v>0</v>
      </c>
      <c r="AH16" s="244"/>
      <c r="AI16" s="244"/>
      <c r="AL16" s="169"/>
      <c r="AM16" s="206" t="s">
        <v>396</v>
      </c>
      <c r="AS16" s="191"/>
      <c r="AU16" s="191"/>
      <c r="AV16" s="191"/>
      <c r="AW16" s="243">
        <f t="shared" si="1"/>
        <v>0</v>
      </c>
      <c r="AX16" s="244">
        <f>IF(AS5=0,0,(AW16/AS5)*100)</f>
        <v>0</v>
      </c>
      <c r="AY16" s="244"/>
      <c r="AZ16" s="244"/>
      <c r="BC16" s="206" t="s">
        <v>396</v>
      </c>
      <c r="BI16" s="191"/>
      <c r="BK16" s="191"/>
      <c r="BL16" s="191"/>
      <c r="BM16" s="243">
        <f t="shared" si="2"/>
        <v>0</v>
      </c>
      <c r="BN16" s="244">
        <f>IF(BI5=0,0,(BM16/BI5)*100)</f>
        <v>0</v>
      </c>
      <c r="BO16" s="244"/>
      <c r="BP16" s="244"/>
      <c r="BS16" s="206" t="s">
        <v>396</v>
      </c>
      <c r="BY16" s="191"/>
      <c r="CA16" s="191"/>
      <c r="CB16" s="191"/>
      <c r="CC16" s="243">
        <f t="shared" si="3"/>
        <v>0</v>
      </c>
      <c r="CD16" s="244">
        <f>IF(BY5=0,0,(CC16/BY5)*100)</f>
        <v>0</v>
      </c>
      <c r="CE16" s="244"/>
      <c r="CF16" s="244"/>
      <c r="CI16" s="206" t="s">
        <v>396</v>
      </c>
      <c r="CO16" s="191"/>
      <c r="CQ16" s="191"/>
      <c r="CR16" s="191"/>
      <c r="CS16" s="243">
        <f t="shared" si="4"/>
        <v>0</v>
      </c>
      <c r="CT16" s="244">
        <f>IF(CO5=0,0,(CS16/CO5)*100)</f>
        <v>0</v>
      </c>
      <c r="CU16" s="244"/>
      <c r="CV16" s="244"/>
      <c r="CY16" s="206" t="s">
        <v>396</v>
      </c>
      <c r="DE16" s="191"/>
      <c r="DG16" s="191"/>
      <c r="DH16" s="191"/>
      <c r="DI16" s="243">
        <f t="shared" si="5"/>
        <v>0</v>
      </c>
      <c r="DJ16" s="244">
        <f>IF(DE5=0,0,(DI16/DE5)*100)</f>
        <v>0</v>
      </c>
      <c r="DK16" s="244"/>
      <c r="DL16" s="244"/>
      <c r="DO16" s="206" t="s">
        <v>396</v>
      </c>
      <c r="DU16" s="191"/>
      <c r="DW16" s="191"/>
      <c r="DX16" s="191"/>
      <c r="DY16" s="243">
        <f t="shared" si="6"/>
        <v>0</v>
      </c>
      <c r="DZ16" s="244">
        <f>IF(DU5=0,0,(DY16/DU5)*100)</f>
        <v>0</v>
      </c>
      <c r="EA16" s="244"/>
      <c r="EB16" s="244"/>
      <c r="EE16" s="206" t="s">
        <v>396</v>
      </c>
      <c r="EK16" s="191"/>
      <c r="EM16" s="191"/>
      <c r="EN16" s="191"/>
      <c r="EO16" s="243">
        <f t="shared" si="7"/>
        <v>0</v>
      </c>
      <c r="EP16" s="244">
        <f>IF(EK5=0,0,(EO16/EK5)*100)</f>
        <v>0</v>
      </c>
      <c r="EQ16" s="244"/>
      <c r="ER16" s="244"/>
      <c r="EU16" s="206" t="s">
        <v>396</v>
      </c>
      <c r="FA16" s="191"/>
      <c r="FC16" s="191"/>
      <c r="FD16" s="191"/>
      <c r="FE16" s="243">
        <f t="shared" si="8"/>
        <v>0</v>
      </c>
      <c r="FF16" s="244">
        <f>IF(FA5=0,0,(FE16/FA5)*100)</f>
        <v>0</v>
      </c>
      <c r="FG16" s="244"/>
      <c r="FH16" s="244"/>
      <c r="FK16" s="206" t="s">
        <v>396</v>
      </c>
      <c r="FQ16" s="191"/>
      <c r="FS16" s="191"/>
      <c r="FT16" s="191"/>
      <c r="FU16" s="243">
        <f t="shared" si="9"/>
        <v>0</v>
      </c>
      <c r="FV16" s="244">
        <f>IF(FQ5=0,0,(FU16/FQ5)*100)</f>
        <v>0</v>
      </c>
      <c r="FW16" s="244"/>
      <c r="FX16" s="244"/>
      <c r="GA16" s="206" t="s">
        <v>396</v>
      </c>
      <c r="GG16" s="191"/>
      <c r="GI16" s="191"/>
      <c r="GJ16" s="191"/>
      <c r="GK16" s="243">
        <f t="shared" si="10"/>
        <v>0</v>
      </c>
      <c r="GL16" s="244">
        <f>IF(GG5=0,0,(GK16/GG5)*100)</f>
        <v>0</v>
      </c>
      <c r="GM16" s="244"/>
      <c r="GN16" s="244"/>
      <c r="GQ16" s="206" t="s">
        <v>396</v>
      </c>
      <c r="GW16" s="191"/>
      <c r="GY16" s="191"/>
      <c r="GZ16" s="191"/>
      <c r="HA16" s="243">
        <f t="shared" si="11"/>
        <v>0</v>
      </c>
      <c r="HB16" s="244">
        <f>IF(GW5=0,0,(HA16/GW5)*100)</f>
        <v>0</v>
      </c>
      <c r="HC16" s="244"/>
      <c r="HD16" s="244"/>
      <c r="HF16" s="172"/>
      <c r="HG16" s="172"/>
      <c r="HH16" s="172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68" customFormat="1" ht="12.75" x14ac:dyDescent="0.2">
      <c r="A17" s="869"/>
      <c r="B17" s="202" t="s">
        <v>396</v>
      </c>
      <c r="C17" s="162"/>
      <c r="D17" s="162"/>
      <c r="E17" s="162"/>
      <c r="F17" s="162"/>
      <c r="G17" s="162"/>
      <c r="H17" s="183"/>
      <c r="I17" s="162"/>
      <c r="J17" s="183"/>
      <c r="K17" s="183"/>
      <c r="L17" s="246"/>
      <c r="M17" s="247">
        <f>IF(Data!E27=0,0,('Infrastructure Detailed'!BY6))</f>
        <v>0</v>
      </c>
      <c r="N17" s="248">
        <f>IF(H5=0,0,(M17/H5)*100)</f>
        <v>0</v>
      </c>
      <c r="O17" s="248"/>
      <c r="P17" s="248"/>
      <c r="Q17" s="912"/>
      <c r="R17" s="913"/>
      <c r="S17" s="167"/>
      <c r="V17" s="206" t="s">
        <v>397</v>
      </c>
      <c r="AB17" s="191"/>
      <c r="AD17" s="191"/>
      <c r="AE17" s="191"/>
      <c r="AF17" s="243">
        <f t="shared" si="0"/>
        <v>409.74211320610885</v>
      </c>
      <c r="AG17" s="244">
        <f>IF(AB5=0,0,(AF17/AB5)*100)</f>
        <v>204.87105660305446</v>
      </c>
      <c r="AH17" s="244"/>
      <c r="AI17" s="244"/>
      <c r="AL17" s="169"/>
      <c r="AM17" s="206" t="s">
        <v>397</v>
      </c>
      <c r="AS17" s="191"/>
      <c r="AU17" s="191"/>
      <c r="AV17" s="191"/>
      <c r="AW17" s="243">
        <f t="shared" si="1"/>
        <v>409.74211320610885</v>
      </c>
      <c r="AX17" s="244">
        <f>IF(AS5=0,0,(AW17/AS5)*100)</f>
        <v>182.1076058693817</v>
      </c>
      <c r="AY17" s="244"/>
      <c r="AZ17" s="244"/>
      <c r="BC17" s="206" t="s">
        <v>397</v>
      </c>
      <c r="BI17" s="191"/>
      <c r="BK17" s="191"/>
      <c r="BL17" s="191"/>
      <c r="BM17" s="243">
        <f t="shared" si="2"/>
        <v>409.74211320610885</v>
      </c>
      <c r="BN17" s="244">
        <f>IF(BI5=0,0,(BM17/BI5)*100)</f>
        <v>163.89684528244354</v>
      </c>
      <c r="BO17" s="244"/>
      <c r="BP17" s="244"/>
      <c r="BS17" s="206" t="s">
        <v>397</v>
      </c>
      <c r="BY17" s="191"/>
      <c r="CA17" s="191"/>
      <c r="CB17" s="191"/>
      <c r="CC17" s="243">
        <f t="shared" si="3"/>
        <v>409.74211320610885</v>
      </c>
      <c r="CD17" s="244">
        <f>IF(BY5=0,0,(CC17/BY5)*100)</f>
        <v>148.99713207494867</v>
      </c>
      <c r="CE17" s="244"/>
      <c r="CF17" s="244"/>
      <c r="CI17" s="206" t="s">
        <v>397</v>
      </c>
      <c r="CO17" s="191"/>
      <c r="CQ17" s="191"/>
      <c r="CR17" s="191"/>
      <c r="CS17" s="243">
        <f t="shared" si="4"/>
        <v>409.74211320610885</v>
      </c>
      <c r="CT17" s="244">
        <f>IF(CO5=0,0,(CS17/CO5)*100)</f>
        <v>136.5807044020363</v>
      </c>
      <c r="CU17" s="244"/>
      <c r="CV17" s="244"/>
      <c r="CY17" s="206" t="s">
        <v>397</v>
      </c>
      <c r="DE17" s="191"/>
      <c r="DG17" s="191"/>
      <c r="DH17" s="191"/>
      <c r="DI17" s="243">
        <f t="shared" si="5"/>
        <v>409.74211320610885</v>
      </c>
      <c r="DJ17" s="244">
        <f>IF(DE5=0,0,(DI17/DE5)*100)</f>
        <v>126.07449637111041</v>
      </c>
      <c r="DK17" s="244"/>
      <c r="DL17" s="244"/>
      <c r="DO17" s="206" t="s">
        <v>397</v>
      </c>
      <c r="DU17" s="191"/>
      <c r="DW17" s="191"/>
      <c r="DX17" s="191"/>
      <c r="DY17" s="243">
        <f t="shared" si="6"/>
        <v>409.74211320610885</v>
      </c>
      <c r="DZ17" s="244">
        <f>IF(DU5=0,0,(DY17/DU5)*100)</f>
        <v>117.06917520174538</v>
      </c>
      <c r="EA17" s="244"/>
      <c r="EB17" s="244"/>
      <c r="EE17" s="206" t="s">
        <v>397</v>
      </c>
      <c r="EK17" s="191"/>
      <c r="EM17" s="191"/>
      <c r="EN17" s="191"/>
      <c r="EO17" s="243">
        <f t="shared" si="7"/>
        <v>409.74211320610885</v>
      </c>
      <c r="EP17" s="244">
        <f>IF(EK5=0,0,(EO17/EK5)*100)</f>
        <v>109.26456352162903</v>
      </c>
      <c r="EQ17" s="244"/>
      <c r="ER17" s="244"/>
      <c r="EU17" s="206" t="s">
        <v>397</v>
      </c>
      <c r="FA17" s="191"/>
      <c r="FC17" s="191"/>
      <c r="FD17" s="191"/>
      <c r="FE17" s="243">
        <f t="shared" si="8"/>
        <v>409.74211320610885</v>
      </c>
      <c r="FF17" s="244">
        <f>IF(FA5=0,0,(FE17/FA5)*100)</f>
        <v>102.43552830152723</v>
      </c>
      <c r="FG17" s="244"/>
      <c r="FH17" s="244"/>
      <c r="FK17" s="206" t="s">
        <v>397</v>
      </c>
      <c r="FQ17" s="191"/>
      <c r="FS17" s="191"/>
      <c r="FT17" s="191"/>
      <c r="FU17" s="243">
        <f t="shared" si="9"/>
        <v>409.74211320610885</v>
      </c>
      <c r="FV17" s="244">
        <f>IF(FQ5=0,0,(FU17/FQ5)*100)</f>
        <v>96.409908989672672</v>
      </c>
      <c r="FW17" s="244"/>
      <c r="FX17" s="244"/>
      <c r="GA17" s="206" t="s">
        <v>397</v>
      </c>
      <c r="GG17" s="191"/>
      <c r="GI17" s="191"/>
      <c r="GJ17" s="191"/>
      <c r="GK17" s="243">
        <f t="shared" si="10"/>
        <v>409.74211320610885</v>
      </c>
      <c r="GL17" s="244">
        <f>IF(GG5=0,0,(GK17/GG5)*100)</f>
        <v>91.05380293469085</v>
      </c>
      <c r="GM17" s="244"/>
      <c r="GN17" s="244"/>
      <c r="GQ17" s="206" t="s">
        <v>397</v>
      </c>
      <c r="GW17" s="191"/>
      <c r="GY17" s="191"/>
      <c r="GZ17" s="191"/>
      <c r="HA17" s="243">
        <f t="shared" si="11"/>
        <v>409.74211320610885</v>
      </c>
      <c r="HB17" s="244">
        <f>IF(GW5=0,0,(HA17/GW5)*100)</f>
        <v>86.261497517075554</v>
      </c>
      <c r="HC17" s="244"/>
      <c r="HD17" s="244"/>
      <c r="HF17" s="172"/>
      <c r="HG17" s="172"/>
      <c r="HH17" s="172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2.75" x14ac:dyDescent="0.2">
      <c r="B18" s="257" t="s">
        <v>397</v>
      </c>
      <c r="C18" s="258"/>
      <c r="D18" s="258"/>
      <c r="E18" s="258"/>
      <c r="F18" s="258"/>
      <c r="G18" s="258"/>
      <c r="H18" s="259"/>
      <c r="I18" s="258"/>
      <c r="J18" s="259"/>
      <c r="K18" s="259"/>
      <c r="L18" s="246"/>
      <c r="M18" s="261">
        <f>IF(Data!E69=0,0,('Infrastructure Detailed'!CI6))</f>
        <v>409.74211320610885</v>
      </c>
      <c r="N18" s="248">
        <f>IF(H5=0,0,(M18/H5)*100)</f>
        <v>0</v>
      </c>
      <c r="O18" s="248"/>
      <c r="P18" s="248"/>
      <c r="R18" s="913"/>
      <c r="V18" s="198" t="s">
        <v>398</v>
      </c>
      <c r="W18" s="262"/>
      <c r="X18" s="262">
        <f>SUM(X12:X14)</f>
        <v>80</v>
      </c>
      <c r="AB18" s="191"/>
      <c r="AD18" s="191"/>
      <c r="AE18" s="191"/>
      <c r="AF18" s="243"/>
      <c r="AG18" s="244"/>
      <c r="AH18" s="244"/>
      <c r="AI18" s="244"/>
      <c r="AM18" s="198" t="s">
        <v>398</v>
      </c>
      <c r="AN18" s="262"/>
      <c r="AO18" s="262">
        <f>SUM(AO12:AO14)</f>
        <v>80</v>
      </c>
      <c r="AS18" s="191"/>
      <c r="AU18" s="191"/>
      <c r="AV18" s="191"/>
      <c r="AW18" s="243"/>
      <c r="AX18" s="244"/>
      <c r="AY18" s="244"/>
      <c r="AZ18" s="244"/>
      <c r="BC18" s="198" t="s">
        <v>398</v>
      </c>
      <c r="BD18" s="262"/>
      <c r="BE18" s="262">
        <f>SUM(BE12:BE14)</f>
        <v>80</v>
      </c>
      <c r="BI18" s="191"/>
      <c r="BK18" s="191"/>
      <c r="BL18" s="191"/>
      <c r="BM18" s="243"/>
      <c r="BN18" s="244"/>
      <c r="BO18" s="244"/>
      <c r="BP18" s="244"/>
      <c r="BS18" s="198" t="s">
        <v>398</v>
      </c>
      <c r="BT18" s="262"/>
      <c r="BU18" s="262">
        <f>SUM(BU12:BU14)</f>
        <v>80</v>
      </c>
      <c r="BY18" s="191"/>
      <c r="CA18" s="191"/>
      <c r="CB18" s="191"/>
      <c r="CC18" s="243"/>
      <c r="CD18" s="244"/>
      <c r="CE18" s="244"/>
      <c r="CF18" s="244"/>
      <c r="CI18" s="198" t="s">
        <v>398</v>
      </c>
      <c r="CJ18" s="262"/>
      <c r="CK18" s="262">
        <f>SUM(CK12:CK14)</f>
        <v>80</v>
      </c>
      <c r="CO18" s="191"/>
      <c r="CQ18" s="191"/>
      <c r="CR18" s="191"/>
      <c r="CS18" s="243"/>
      <c r="CT18" s="244"/>
      <c r="CU18" s="244"/>
      <c r="CV18" s="244"/>
      <c r="CY18" s="198" t="s">
        <v>398</v>
      </c>
      <c r="CZ18" s="262"/>
      <c r="DA18" s="262">
        <f>SUM(DA12:DA14)</f>
        <v>80</v>
      </c>
      <c r="DE18" s="191"/>
      <c r="DG18" s="191"/>
      <c r="DH18" s="191"/>
      <c r="DI18" s="243"/>
      <c r="DJ18" s="244"/>
      <c r="DK18" s="244"/>
      <c r="DL18" s="244"/>
      <c r="DO18" s="198" t="s">
        <v>398</v>
      </c>
      <c r="DP18" s="262"/>
      <c r="DQ18" s="262">
        <f>SUM(DQ12:DQ14)</f>
        <v>80</v>
      </c>
      <c r="DU18" s="191"/>
      <c r="DW18" s="191"/>
      <c r="DX18" s="191"/>
      <c r="DY18" s="243"/>
      <c r="DZ18" s="244"/>
      <c r="EA18" s="244"/>
      <c r="EB18" s="244"/>
      <c r="EE18" s="198" t="s">
        <v>398</v>
      </c>
      <c r="EF18" s="262"/>
      <c r="EG18" s="262">
        <f>SUM(EG12:EG14)</f>
        <v>80</v>
      </c>
      <c r="EK18" s="191"/>
      <c r="EM18" s="191"/>
      <c r="EN18" s="191"/>
      <c r="EO18" s="243"/>
      <c r="EP18" s="244"/>
      <c r="EQ18" s="244"/>
      <c r="ER18" s="244"/>
      <c r="EU18" s="198" t="s">
        <v>398</v>
      </c>
      <c r="EV18" s="262"/>
      <c r="EW18" s="262">
        <f>SUM(EW12:EW14)</f>
        <v>80</v>
      </c>
      <c r="FA18" s="191"/>
      <c r="FC18" s="191"/>
      <c r="FD18" s="191"/>
      <c r="FE18" s="243"/>
      <c r="FF18" s="244"/>
      <c r="FG18" s="244"/>
      <c r="FH18" s="244"/>
      <c r="FK18" s="198" t="s">
        <v>398</v>
      </c>
      <c r="FL18" s="262"/>
      <c r="FM18" s="262">
        <f>SUM(FM12:FM14)</f>
        <v>80</v>
      </c>
      <c r="FQ18" s="191"/>
      <c r="FS18" s="191"/>
      <c r="FT18" s="191"/>
      <c r="FU18" s="243"/>
      <c r="FV18" s="244"/>
      <c r="FW18" s="244"/>
      <c r="FX18" s="244"/>
      <c r="GA18" s="198" t="s">
        <v>398</v>
      </c>
      <c r="GB18" s="262"/>
      <c r="GC18" s="262">
        <f>SUM(GC12:GC14)</f>
        <v>80</v>
      </c>
      <c r="GG18" s="191"/>
      <c r="GI18" s="191"/>
      <c r="GJ18" s="191"/>
      <c r="GK18" s="243"/>
      <c r="GL18" s="244"/>
      <c r="GM18" s="244"/>
      <c r="GN18" s="244"/>
      <c r="GQ18" s="198" t="s">
        <v>398</v>
      </c>
      <c r="GR18" s="262"/>
      <c r="GS18" s="262">
        <f>SUM(GS12:GS14)</f>
        <v>80</v>
      </c>
      <c r="GW18" s="191"/>
      <c r="GY18" s="191"/>
      <c r="GZ18" s="191"/>
      <c r="HA18" s="243"/>
      <c r="HB18" s="244"/>
      <c r="HC18" s="244"/>
      <c r="HD18" s="244"/>
      <c r="HF18" s="172"/>
      <c r="HG18" s="172"/>
      <c r="HH18" s="172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2.75" x14ac:dyDescent="0.2">
      <c r="B19" s="202" t="s">
        <v>399</v>
      </c>
      <c r="H19" s="183"/>
      <c r="J19" s="183"/>
      <c r="K19" s="183"/>
      <c r="L19" s="256"/>
      <c r="M19" s="247">
        <f>IF('Infrastructure Detailed'!DM18=0,0,('Infrastructure Detailed'!DN54))</f>
        <v>0</v>
      </c>
      <c r="N19" s="248">
        <f>IF(H5=0,0,(M19/H5)*100)</f>
        <v>0</v>
      </c>
      <c r="O19" s="248"/>
      <c r="P19" s="248"/>
      <c r="R19" s="913"/>
      <c r="V19" s="206" t="s">
        <v>400</v>
      </c>
      <c r="X19" s="168">
        <f>$D24</f>
        <v>40</v>
      </c>
      <c r="Z19" s="168">
        <f>$F24</f>
        <v>4.5</v>
      </c>
      <c r="AB19" s="191">
        <f>$H24</f>
        <v>180</v>
      </c>
      <c r="AD19" s="242">
        <f>$J24</f>
        <v>91.069831422822091</v>
      </c>
      <c r="AE19" s="191"/>
      <c r="AF19" s="243">
        <f>$M24</f>
        <v>409.81424140269939</v>
      </c>
      <c r="AG19" s="244"/>
      <c r="AH19" s="244">
        <f>IF(AB6=0,0,(AF19/AB6)*100)</f>
        <v>204.9071207013497</v>
      </c>
      <c r="AI19" s="244"/>
      <c r="AM19" s="206" t="s">
        <v>400</v>
      </c>
      <c r="AO19" s="168">
        <f>$D24</f>
        <v>40</v>
      </c>
      <c r="AQ19" s="168">
        <f>$F24</f>
        <v>4.5</v>
      </c>
      <c r="AS19" s="191">
        <f>$H24</f>
        <v>180</v>
      </c>
      <c r="AU19" s="242">
        <f>$J24</f>
        <v>91.069831422822091</v>
      </c>
      <c r="AV19" s="191"/>
      <c r="AW19" s="243">
        <f>$M24</f>
        <v>409.81424140269939</v>
      </c>
      <c r="AX19" s="244"/>
      <c r="AY19" s="244">
        <f>IF(AS6=0,0,(AW19/AS6)*100)</f>
        <v>182.13966284564418</v>
      </c>
      <c r="AZ19" s="244"/>
      <c r="BC19" s="206" t="s">
        <v>400</v>
      </c>
      <c r="BE19" s="168">
        <f>$D24</f>
        <v>40</v>
      </c>
      <c r="BG19" s="168">
        <f>$F24</f>
        <v>4.5</v>
      </c>
      <c r="BI19" s="191">
        <f>$H24</f>
        <v>180</v>
      </c>
      <c r="BK19" s="242">
        <f>$J24</f>
        <v>91.069831422822091</v>
      </c>
      <c r="BL19" s="191"/>
      <c r="BM19" s="243">
        <f>$M24</f>
        <v>409.81424140269939</v>
      </c>
      <c r="BN19" s="244"/>
      <c r="BO19" s="244">
        <f>IF(BI6=0,0,(BM19/BI6)*100)</f>
        <v>163.92569656107975</v>
      </c>
      <c r="BP19" s="244"/>
      <c r="BS19" s="206" t="s">
        <v>400</v>
      </c>
      <c r="BU19" s="168">
        <f>$D24</f>
        <v>40</v>
      </c>
      <c r="BW19" s="168">
        <f>$F24</f>
        <v>4.5</v>
      </c>
      <c r="BY19" s="191">
        <f>$H24</f>
        <v>180</v>
      </c>
      <c r="CA19" s="242">
        <f>$J24</f>
        <v>91.069831422822091</v>
      </c>
      <c r="CB19" s="191"/>
      <c r="CC19" s="243">
        <f>$M24</f>
        <v>409.81424140269939</v>
      </c>
      <c r="CD19" s="244"/>
      <c r="CE19" s="244">
        <f>IF(BY6=0,0,(CC19/BY6)*100)</f>
        <v>149.02336051007251</v>
      </c>
      <c r="CF19" s="244"/>
      <c r="CI19" s="206" t="s">
        <v>400</v>
      </c>
      <c r="CK19" s="168">
        <f>$D24</f>
        <v>40</v>
      </c>
      <c r="CM19" s="168">
        <f>$F24</f>
        <v>4.5</v>
      </c>
      <c r="CO19" s="191">
        <f>$H24</f>
        <v>180</v>
      </c>
      <c r="CQ19" s="242">
        <f>$J24</f>
        <v>91.069831422822091</v>
      </c>
      <c r="CR19" s="191"/>
      <c r="CS19" s="243">
        <f>$M24</f>
        <v>409.81424140269939</v>
      </c>
      <c r="CT19" s="244"/>
      <c r="CU19" s="244">
        <f>IF(CO6=0,0,(CS19/CO6)*100)</f>
        <v>136.60474713423315</v>
      </c>
      <c r="CV19" s="244"/>
      <c r="CY19" s="206" t="s">
        <v>400</v>
      </c>
      <c r="DA19" s="168">
        <f>$D24</f>
        <v>40</v>
      </c>
      <c r="DC19" s="168">
        <f>$F24</f>
        <v>4.5</v>
      </c>
      <c r="DE19" s="191">
        <f>$H24</f>
        <v>180</v>
      </c>
      <c r="DG19" s="242">
        <f>$J24</f>
        <v>91.069831422822091</v>
      </c>
      <c r="DH19" s="191"/>
      <c r="DI19" s="243">
        <f>$M24</f>
        <v>409.81424140269939</v>
      </c>
      <c r="DJ19" s="244"/>
      <c r="DK19" s="244">
        <f>IF(DE6=0,0,(DI19/DE6)*100)</f>
        <v>126.09668966236904</v>
      </c>
      <c r="DL19" s="244"/>
      <c r="DO19" s="206" t="s">
        <v>400</v>
      </c>
      <c r="DQ19" s="168">
        <f>$D24</f>
        <v>40</v>
      </c>
      <c r="DS19" s="168">
        <f>$F24</f>
        <v>4.5</v>
      </c>
      <c r="DU19" s="191">
        <f>$H24</f>
        <v>180</v>
      </c>
      <c r="DW19" s="242">
        <f>$J24</f>
        <v>91.069831422822091</v>
      </c>
      <c r="DX19" s="191"/>
      <c r="DY19" s="243">
        <f>$M24</f>
        <v>409.81424140269939</v>
      </c>
      <c r="DZ19" s="244"/>
      <c r="EA19" s="244">
        <f>IF(DU6=0,0,(DY19/DU6)*100)</f>
        <v>117.08978325791411</v>
      </c>
      <c r="EB19" s="244"/>
      <c r="EE19" s="206" t="s">
        <v>400</v>
      </c>
      <c r="EG19" s="168">
        <f>$D24</f>
        <v>40</v>
      </c>
      <c r="EI19" s="168">
        <f>$F24</f>
        <v>4.5</v>
      </c>
      <c r="EK19" s="191">
        <f>$H24</f>
        <v>180</v>
      </c>
      <c r="EM19" s="242">
        <f>$J24</f>
        <v>91.069831422822091</v>
      </c>
      <c r="EN19" s="191"/>
      <c r="EO19" s="243">
        <f>$M24</f>
        <v>409.81424140269939</v>
      </c>
      <c r="EP19" s="244"/>
      <c r="EQ19" s="244">
        <f>IF(EK6=0,0,(EO19/EK6)*100)</f>
        <v>109.2837977073865</v>
      </c>
      <c r="ER19" s="244"/>
      <c r="EU19" s="206" t="s">
        <v>400</v>
      </c>
      <c r="EW19" s="168">
        <f>$D24</f>
        <v>40</v>
      </c>
      <c r="EY19" s="168">
        <f>$F24</f>
        <v>4.5</v>
      </c>
      <c r="FA19" s="191">
        <f>$H24</f>
        <v>180</v>
      </c>
      <c r="FC19" s="242">
        <f>$J24</f>
        <v>91.069831422822091</v>
      </c>
      <c r="FD19" s="191"/>
      <c r="FE19" s="243">
        <f>$M24</f>
        <v>409.81424140269939</v>
      </c>
      <c r="FF19" s="244"/>
      <c r="FG19" s="244">
        <f>IF(FA6=0,0,(FE19/FA6)*100)</f>
        <v>102.45356035067485</v>
      </c>
      <c r="FH19" s="244"/>
      <c r="FK19" s="206" t="s">
        <v>400</v>
      </c>
      <c r="FM19" s="168">
        <f>$D24</f>
        <v>40</v>
      </c>
      <c r="FO19" s="168">
        <f>$F24</f>
        <v>4.5</v>
      </c>
      <c r="FQ19" s="191">
        <f>$H24</f>
        <v>180</v>
      </c>
      <c r="FS19" s="242">
        <f>$J24</f>
        <v>91.069831422822091</v>
      </c>
      <c r="FT19" s="191"/>
      <c r="FU19" s="243">
        <f>$M24</f>
        <v>409.81424140269939</v>
      </c>
      <c r="FV19" s="244"/>
      <c r="FW19" s="244">
        <f>IF(FQ6=0,0,(FU19/FQ6)*100)</f>
        <v>96.426880330046913</v>
      </c>
      <c r="FX19" s="244"/>
      <c r="GA19" s="206" t="s">
        <v>400</v>
      </c>
      <c r="GC19" s="168">
        <f>$D24</f>
        <v>40</v>
      </c>
      <c r="GE19" s="168">
        <f>$F24</f>
        <v>4.5</v>
      </c>
      <c r="GG19" s="191">
        <f>$H24</f>
        <v>180</v>
      </c>
      <c r="GI19" s="242">
        <f>$J24</f>
        <v>91.069831422822091</v>
      </c>
      <c r="GJ19" s="191"/>
      <c r="GK19" s="243">
        <f>$M24</f>
        <v>409.81424140269939</v>
      </c>
      <c r="GL19" s="244"/>
      <c r="GM19" s="244">
        <f>IF(GG6=0,0,(GK19/GG6)*100)</f>
        <v>91.069831422822091</v>
      </c>
      <c r="GN19" s="244"/>
      <c r="GQ19" s="206" t="s">
        <v>400</v>
      </c>
      <c r="GS19" s="168">
        <f>$D24</f>
        <v>40</v>
      </c>
      <c r="GU19" s="168">
        <f>$F24</f>
        <v>4.5</v>
      </c>
      <c r="GW19" s="191">
        <f>$H24</f>
        <v>180</v>
      </c>
      <c r="GY19" s="242">
        <f>$J24</f>
        <v>91.069831422822091</v>
      </c>
      <c r="GZ19" s="191"/>
      <c r="HA19" s="243">
        <f>$M24</f>
        <v>409.81424140269939</v>
      </c>
      <c r="HB19" s="244"/>
      <c r="HC19" s="244">
        <f>IF(GW6=0,0,(HA19/GW6)*100)</f>
        <v>86.276682400568291</v>
      </c>
      <c r="HD19" s="244"/>
      <c r="HF19" s="172"/>
      <c r="HG19" s="172"/>
      <c r="HH19" s="172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68" customFormat="1" ht="12.75" x14ac:dyDescent="0.2">
      <c r="A20" s="869"/>
      <c r="B20" s="257" t="s">
        <v>401</v>
      </c>
      <c r="C20" s="258"/>
      <c r="D20" s="258"/>
      <c r="E20" s="258"/>
      <c r="F20" s="258"/>
      <c r="G20" s="258"/>
      <c r="H20" s="259"/>
      <c r="I20" s="258"/>
      <c r="J20" s="259"/>
      <c r="K20" s="259"/>
      <c r="L20" s="254"/>
      <c r="M20" s="261">
        <f>IF('Infrastructure Detailed'!DM18=0,0,('Infrastructure Detailed'!DN55))</f>
        <v>0</v>
      </c>
      <c r="N20" s="248">
        <f>IF(H5=0,0,(M20/H5)*100)</f>
        <v>0</v>
      </c>
      <c r="O20" s="248"/>
      <c r="P20" s="248"/>
      <c r="Q20" s="912"/>
      <c r="R20" s="913"/>
      <c r="S20" s="167"/>
      <c r="V20" s="206" t="s">
        <v>402</v>
      </c>
      <c r="AB20" s="191"/>
      <c r="AD20" s="242"/>
      <c r="AE20" s="191"/>
      <c r="AF20" s="243">
        <f>$M25</f>
        <v>262.73154808362273</v>
      </c>
      <c r="AG20" s="244"/>
      <c r="AH20" s="244">
        <f>IF(AB6=0,0,(AF20/AB6)*100)</f>
        <v>131.36577404181136</v>
      </c>
      <c r="AI20" s="244"/>
      <c r="AL20" s="169"/>
      <c r="AM20" s="206" t="s">
        <v>402</v>
      </c>
      <c r="AS20" s="191"/>
      <c r="AU20" s="242"/>
      <c r="AV20" s="191"/>
      <c r="AW20" s="243">
        <f>$M25</f>
        <v>262.73154808362273</v>
      </c>
      <c r="AX20" s="244"/>
      <c r="AY20" s="244">
        <f>IF(AS6=0,0,(AW20/AS6)*100)</f>
        <v>116.76957692605454</v>
      </c>
      <c r="AZ20" s="244"/>
      <c r="BC20" s="206" t="s">
        <v>402</v>
      </c>
      <c r="BI20" s="191"/>
      <c r="BK20" s="242"/>
      <c r="BL20" s="191"/>
      <c r="BM20" s="243">
        <f>$M25</f>
        <v>262.73154808362273</v>
      </c>
      <c r="BN20" s="244"/>
      <c r="BO20" s="244">
        <f>IF(BI6=0,0,(BM20/BI6)*100)</f>
        <v>105.09261923344908</v>
      </c>
      <c r="BP20" s="244"/>
      <c r="BS20" s="206" t="s">
        <v>402</v>
      </c>
      <c r="BY20" s="191"/>
      <c r="CA20" s="242"/>
      <c r="CB20" s="191"/>
      <c r="CC20" s="243">
        <f>$M25</f>
        <v>262.73154808362273</v>
      </c>
      <c r="CD20" s="244"/>
      <c r="CE20" s="244">
        <f>IF(BY6=0,0,(CC20/BY6)*100)</f>
        <v>95.538744757680988</v>
      </c>
      <c r="CF20" s="244"/>
      <c r="CI20" s="206" t="s">
        <v>402</v>
      </c>
      <c r="CO20" s="191"/>
      <c r="CQ20" s="242"/>
      <c r="CR20" s="191"/>
      <c r="CS20" s="243">
        <f>$M25</f>
        <v>262.73154808362273</v>
      </c>
      <c r="CT20" s="244"/>
      <c r="CU20" s="244">
        <f>IF(CO6=0,0,(CS20/CO6)*100)</f>
        <v>87.577182694540909</v>
      </c>
      <c r="CV20" s="244"/>
      <c r="CY20" s="206" t="s">
        <v>402</v>
      </c>
      <c r="DE20" s="191"/>
      <c r="DG20" s="242"/>
      <c r="DH20" s="191"/>
      <c r="DI20" s="243">
        <f>$M25</f>
        <v>262.73154808362273</v>
      </c>
      <c r="DJ20" s="244"/>
      <c r="DK20" s="244">
        <f>IF(DE6=0,0,(DI20/DE6)*100)</f>
        <v>80.840476333422373</v>
      </c>
      <c r="DL20" s="244"/>
      <c r="DO20" s="206" t="s">
        <v>402</v>
      </c>
      <c r="DU20" s="191"/>
      <c r="DW20" s="242"/>
      <c r="DX20" s="191"/>
      <c r="DY20" s="243">
        <f>$M25</f>
        <v>262.73154808362273</v>
      </c>
      <c r="DZ20" s="244"/>
      <c r="EA20" s="244">
        <f>IF(DU6=0,0,(DY20/DU6)*100)</f>
        <v>75.066156595320777</v>
      </c>
      <c r="EB20" s="244"/>
      <c r="EE20" s="206" t="s">
        <v>402</v>
      </c>
      <c r="EK20" s="191"/>
      <c r="EM20" s="242"/>
      <c r="EN20" s="191"/>
      <c r="EO20" s="243">
        <f>$M25</f>
        <v>262.73154808362273</v>
      </c>
      <c r="EP20" s="244"/>
      <c r="EQ20" s="244">
        <f>IF(EK6=0,0,(EO20/EK6)*100)</f>
        <v>70.061746155632733</v>
      </c>
      <c r="ER20" s="244"/>
      <c r="EU20" s="206" t="s">
        <v>402</v>
      </c>
      <c r="FA20" s="191"/>
      <c r="FC20" s="242"/>
      <c r="FD20" s="191"/>
      <c r="FE20" s="243">
        <f>$M25</f>
        <v>262.73154808362273</v>
      </c>
      <c r="FF20" s="244"/>
      <c r="FG20" s="244">
        <f>IF(FA6=0,0,(FE20/FA6)*100)</f>
        <v>65.682887020905682</v>
      </c>
      <c r="FH20" s="244"/>
      <c r="FK20" s="206" t="s">
        <v>402</v>
      </c>
      <c r="FQ20" s="191"/>
      <c r="FS20" s="242"/>
      <c r="FT20" s="191"/>
      <c r="FU20" s="243">
        <f>$M25</f>
        <v>262.73154808362273</v>
      </c>
      <c r="FV20" s="244"/>
      <c r="FW20" s="244">
        <f>IF(FQ6=0,0,(FU20/FQ6)*100)</f>
        <v>61.819187784381811</v>
      </c>
      <c r="FX20" s="244"/>
      <c r="GA20" s="206" t="s">
        <v>402</v>
      </c>
      <c r="GG20" s="191"/>
      <c r="GI20" s="242"/>
      <c r="GJ20" s="191"/>
      <c r="GK20" s="243">
        <f>$M25</f>
        <v>262.73154808362273</v>
      </c>
      <c r="GL20" s="244"/>
      <c r="GM20" s="244">
        <f>IF(GG6=0,0,(GK20/GG6)*100)</f>
        <v>58.38478846302727</v>
      </c>
      <c r="GN20" s="244"/>
      <c r="GQ20" s="206" t="s">
        <v>402</v>
      </c>
      <c r="GW20" s="191"/>
      <c r="GY20" s="242"/>
      <c r="GZ20" s="191"/>
      <c r="HA20" s="243">
        <f>$M25</f>
        <v>262.73154808362273</v>
      </c>
      <c r="HB20" s="244"/>
      <c r="HC20" s="244">
        <f>IF(GW6=0,0,(HA20/GW6)*100)</f>
        <v>55.311904859710047</v>
      </c>
      <c r="HD20" s="244"/>
      <c r="HF20" s="172"/>
      <c r="HG20" s="172"/>
      <c r="HH20" s="172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2.75" x14ac:dyDescent="0.2">
      <c r="B21" s="202" t="s">
        <v>403</v>
      </c>
      <c r="H21" s="183"/>
      <c r="J21" s="183"/>
      <c r="K21" s="183"/>
      <c r="L21" s="246"/>
      <c r="M21" s="247">
        <f>IF(Data!E10=0,0,('Infrastructure Detailed'!AA108/Data!E10))</f>
        <v>0</v>
      </c>
      <c r="N21" s="248">
        <f>IF(H5=0,0,(M21/H5))*100</f>
        <v>0</v>
      </c>
      <c r="O21" s="248"/>
      <c r="P21" s="248"/>
      <c r="R21" s="913"/>
      <c r="V21" s="206" t="s">
        <v>404</v>
      </c>
      <c r="X21" s="168">
        <f>$D26</f>
        <v>40</v>
      </c>
      <c r="Z21" s="168">
        <f>$F26</f>
        <v>4.5</v>
      </c>
      <c r="AB21" s="191">
        <f>AB19</f>
        <v>180</v>
      </c>
      <c r="AD21" s="242">
        <f>$J26</f>
        <v>208.56143250213083</v>
      </c>
      <c r="AE21" s="191"/>
      <c r="AF21" s="243">
        <f>$M26</f>
        <v>938.52644625958874</v>
      </c>
      <c r="AG21" s="244"/>
      <c r="AH21" s="244">
        <f>IF(AB6=0,0,(AF21/AB6)*100)</f>
        <v>469.26322312979443</v>
      </c>
      <c r="AI21" s="244"/>
      <c r="AM21" s="206" t="s">
        <v>404</v>
      </c>
      <c r="AO21" s="168">
        <f>$D26</f>
        <v>40</v>
      </c>
      <c r="AQ21" s="168">
        <f>$F26</f>
        <v>4.5</v>
      </c>
      <c r="AS21" s="191">
        <f>AS19</f>
        <v>180</v>
      </c>
      <c r="AU21" s="242">
        <f>$J26</f>
        <v>208.56143250213083</v>
      </c>
      <c r="AV21" s="191"/>
      <c r="AW21" s="243">
        <f>$M26</f>
        <v>938.52644625958874</v>
      </c>
      <c r="AX21" s="244"/>
      <c r="AY21" s="244">
        <f>IF(AS6=0,0,(AW21/AS6)*100)</f>
        <v>417.12286500426166</v>
      </c>
      <c r="AZ21" s="244"/>
      <c r="BC21" s="206" t="s">
        <v>404</v>
      </c>
      <c r="BE21" s="168">
        <f>$D26</f>
        <v>40</v>
      </c>
      <c r="BG21" s="168">
        <f>$F26</f>
        <v>4.5</v>
      </c>
      <c r="BI21" s="191">
        <f>BI19</f>
        <v>180</v>
      </c>
      <c r="BK21" s="242">
        <f>$J26</f>
        <v>208.56143250213083</v>
      </c>
      <c r="BL21" s="191"/>
      <c r="BM21" s="243">
        <f>$M26</f>
        <v>938.52644625958874</v>
      </c>
      <c r="BN21" s="244"/>
      <c r="BO21" s="244">
        <f>IF(BI6=0,0,(BM21/BI6)*100)</f>
        <v>375.4105785038355</v>
      </c>
      <c r="BP21" s="244"/>
      <c r="BS21" s="206" t="s">
        <v>404</v>
      </c>
      <c r="BU21" s="168">
        <f>$D26</f>
        <v>40</v>
      </c>
      <c r="BW21" s="168">
        <f>$F26</f>
        <v>4.5</v>
      </c>
      <c r="BY21" s="191">
        <f>BY19</f>
        <v>180</v>
      </c>
      <c r="CA21" s="242">
        <f>$J26</f>
        <v>208.56143250213083</v>
      </c>
      <c r="CB21" s="191"/>
      <c r="CC21" s="243">
        <f>$M26</f>
        <v>938.52644625958874</v>
      </c>
      <c r="CD21" s="244"/>
      <c r="CE21" s="244">
        <f>IF(BY6=0,0,(CC21/BY6)*100)</f>
        <v>341.28234409439591</v>
      </c>
      <c r="CF21" s="244"/>
      <c r="CI21" s="206" t="s">
        <v>404</v>
      </c>
      <c r="CK21" s="168">
        <f>$D26</f>
        <v>40</v>
      </c>
      <c r="CM21" s="168">
        <f>$F26</f>
        <v>4.5</v>
      </c>
      <c r="CO21" s="191">
        <f>CO19</f>
        <v>180</v>
      </c>
      <c r="CQ21" s="242">
        <f>$J26</f>
        <v>208.56143250213083</v>
      </c>
      <c r="CR21" s="191"/>
      <c r="CS21" s="243">
        <f>$M26</f>
        <v>938.52644625958874</v>
      </c>
      <c r="CT21" s="244"/>
      <c r="CU21" s="244">
        <f>IF(CO6=0,0,(CS21/CO6)*100)</f>
        <v>312.84214875319623</v>
      </c>
      <c r="CV21" s="244"/>
      <c r="CY21" s="206" t="s">
        <v>404</v>
      </c>
      <c r="DA21" s="168">
        <f>$D26</f>
        <v>40</v>
      </c>
      <c r="DC21" s="168">
        <f>$F26</f>
        <v>4.5</v>
      </c>
      <c r="DE21" s="191">
        <f>DE19</f>
        <v>180</v>
      </c>
      <c r="DG21" s="242">
        <f>$J26</f>
        <v>208.56143250213083</v>
      </c>
      <c r="DH21" s="191"/>
      <c r="DI21" s="243">
        <f>$M26</f>
        <v>938.52644625958874</v>
      </c>
      <c r="DJ21" s="244"/>
      <c r="DK21" s="244">
        <f>IF(DE6=0,0,(DI21/DE6)*100)</f>
        <v>288.77736807987344</v>
      </c>
      <c r="DL21" s="244"/>
      <c r="DO21" s="206" t="s">
        <v>404</v>
      </c>
      <c r="DQ21" s="168">
        <f>$D26</f>
        <v>40</v>
      </c>
      <c r="DS21" s="168">
        <f>$F26</f>
        <v>4.5</v>
      </c>
      <c r="DU21" s="191">
        <f>DU19</f>
        <v>180</v>
      </c>
      <c r="DW21" s="242">
        <f>$J26</f>
        <v>208.56143250213083</v>
      </c>
      <c r="DX21" s="191"/>
      <c r="DY21" s="243">
        <f>$M26</f>
        <v>938.52644625958874</v>
      </c>
      <c r="DZ21" s="244"/>
      <c r="EA21" s="244">
        <f>IF(DU6=0,0,(DY21/DU6)*100)</f>
        <v>268.1504132170254</v>
      </c>
      <c r="EB21" s="244"/>
      <c r="EE21" s="206" t="s">
        <v>404</v>
      </c>
      <c r="EG21" s="168">
        <f>$D26</f>
        <v>40</v>
      </c>
      <c r="EI21" s="168">
        <f>$F26</f>
        <v>4.5</v>
      </c>
      <c r="EK21" s="191">
        <f>EK19</f>
        <v>180</v>
      </c>
      <c r="EM21" s="242">
        <f>$J26</f>
        <v>208.56143250213083</v>
      </c>
      <c r="EN21" s="191"/>
      <c r="EO21" s="243">
        <f>$M26</f>
        <v>938.52644625958874</v>
      </c>
      <c r="EP21" s="244"/>
      <c r="EQ21" s="244">
        <f>IF(EK6=0,0,(EO21/EK6)*100)</f>
        <v>250.27371900255702</v>
      </c>
      <c r="ER21" s="244"/>
      <c r="EU21" s="206" t="s">
        <v>404</v>
      </c>
      <c r="EW21" s="168">
        <f>$D26</f>
        <v>40</v>
      </c>
      <c r="EY21" s="168">
        <f>$F26</f>
        <v>4.5</v>
      </c>
      <c r="FA21" s="191">
        <f>FA19</f>
        <v>180</v>
      </c>
      <c r="FC21" s="242">
        <f>$J26</f>
        <v>208.56143250213083</v>
      </c>
      <c r="FD21" s="191"/>
      <c r="FE21" s="243">
        <f>$M26</f>
        <v>938.52644625958874</v>
      </c>
      <c r="FF21" s="244"/>
      <c r="FG21" s="244">
        <f>IF(FA6=0,0,(FE21/FA6)*100)</f>
        <v>234.63161156489721</v>
      </c>
      <c r="FH21" s="244"/>
      <c r="FK21" s="206" t="s">
        <v>404</v>
      </c>
      <c r="FM21" s="168">
        <f>$D26</f>
        <v>40</v>
      </c>
      <c r="FO21" s="168">
        <f>$F26</f>
        <v>4.5</v>
      </c>
      <c r="FQ21" s="191">
        <f>FQ19</f>
        <v>180</v>
      </c>
      <c r="FS21" s="242">
        <f>$J26</f>
        <v>208.56143250213083</v>
      </c>
      <c r="FT21" s="191"/>
      <c r="FU21" s="243">
        <f>$M26</f>
        <v>938.52644625958874</v>
      </c>
      <c r="FV21" s="244"/>
      <c r="FW21" s="244">
        <f>IF(FQ6=0,0,(FU21/FQ6)*100)</f>
        <v>220.82975206107972</v>
      </c>
      <c r="FX21" s="244"/>
      <c r="GA21" s="206" t="s">
        <v>404</v>
      </c>
      <c r="GC21" s="168">
        <f>$D26</f>
        <v>40</v>
      </c>
      <c r="GE21" s="168">
        <f>$F26</f>
        <v>4.5</v>
      </c>
      <c r="GG21" s="191">
        <f>GG19</f>
        <v>180</v>
      </c>
      <c r="GI21" s="242">
        <f>$J26</f>
        <v>208.56143250213083</v>
      </c>
      <c r="GJ21" s="191"/>
      <c r="GK21" s="243">
        <f>$M26</f>
        <v>938.52644625958874</v>
      </c>
      <c r="GL21" s="244"/>
      <c r="GM21" s="244">
        <f>IF(GG6=0,0,(GK21/GG6)*100)</f>
        <v>208.56143250213083</v>
      </c>
      <c r="GN21" s="244"/>
      <c r="GQ21" s="206" t="s">
        <v>404</v>
      </c>
      <c r="GS21" s="168">
        <f>$D26</f>
        <v>40</v>
      </c>
      <c r="GU21" s="168">
        <f>$F26</f>
        <v>4.5</v>
      </c>
      <c r="GW21" s="191">
        <f>GW19</f>
        <v>180</v>
      </c>
      <c r="GY21" s="242">
        <f>$J26</f>
        <v>208.56143250213083</v>
      </c>
      <c r="GZ21" s="191"/>
      <c r="HA21" s="243">
        <f>$M26</f>
        <v>938.52644625958874</v>
      </c>
      <c r="HB21" s="244"/>
      <c r="HC21" s="244">
        <f>IF(GW6=0,0,(HA21/GW6)*100)</f>
        <v>197.58451500201869</v>
      </c>
      <c r="HD21" s="244"/>
      <c r="HF21" s="172"/>
      <c r="HG21" s="172"/>
      <c r="HH21" s="172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68" customFormat="1" ht="12.75" x14ac:dyDescent="0.2">
      <c r="A22" s="869"/>
      <c r="B22" s="257" t="s">
        <v>405</v>
      </c>
      <c r="C22" s="258"/>
      <c r="D22" s="258"/>
      <c r="E22" s="258"/>
      <c r="F22" s="258"/>
      <c r="G22" s="258"/>
      <c r="H22" s="259"/>
      <c r="I22" s="258"/>
      <c r="J22" s="259"/>
      <c r="K22" s="259"/>
      <c r="L22" s="246"/>
      <c r="M22" s="261">
        <f>IF(Data!E12=0,0,('Infrastructure Detailed'!AK108/Data!E12))</f>
        <v>0</v>
      </c>
      <c r="N22" s="248">
        <f>IF(H5=0,0,(M22/H5))*100</f>
        <v>0</v>
      </c>
      <c r="O22" s="248"/>
      <c r="P22" s="248"/>
      <c r="Q22" s="912"/>
      <c r="R22" s="913"/>
      <c r="S22" s="167"/>
      <c r="V22" s="206" t="s">
        <v>406</v>
      </c>
      <c r="AD22" s="242"/>
      <c r="AE22" s="191"/>
      <c r="AF22" s="243">
        <f>$M27</f>
        <v>262.73154808362273</v>
      </c>
      <c r="AG22" s="244"/>
      <c r="AH22" s="244">
        <f>IF(AB6=0,0,(AF22/AB6))*100</f>
        <v>131.36577404181136</v>
      </c>
      <c r="AI22" s="244"/>
      <c r="AL22" s="169"/>
      <c r="AM22" s="206" t="s">
        <v>406</v>
      </c>
      <c r="AU22" s="242"/>
      <c r="AV22" s="191"/>
      <c r="AW22" s="243">
        <f>$M27</f>
        <v>262.73154808362273</v>
      </c>
      <c r="AX22" s="244"/>
      <c r="AY22" s="244">
        <f>IF(AS6=0,0,(AW22/AS6))*100</f>
        <v>116.76957692605454</v>
      </c>
      <c r="AZ22" s="244"/>
      <c r="BC22" s="206" t="s">
        <v>406</v>
      </c>
      <c r="BK22" s="242"/>
      <c r="BL22" s="191"/>
      <c r="BM22" s="243">
        <f>$M27</f>
        <v>262.73154808362273</v>
      </c>
      <c r="BN22" s="244"/>
      <c r="BO22" s="244">
        <f>IF(BI6=0,0,(BM22/BI6))*100</f>
        <v>105.09261923344908</v>
      </c>
      <c r="BP22" s="244"/>
      <c r="BS22" s="206" t="s">
        <v>406</v>
      </c>
      <c r="CA22" s="242"/>
      <c r="CB22" s="191"/>
      <c r="CC22" s="243">
        <f>$M27</f>
        <v>262.73154808362273</v>
      </c>
      <c r="CD22" s="244"/>
      <c r="CE22" s="244">
        <f>IF(BY6=0,0,(CC22/BY6))*100</f>
        <v>95.538744757680988</v>
      </c>
      <c r="CF22" s="244"/>
      <c r="CI22" s="206" t="s">
        <v>406</v>
      </c>
      <c r="CQ22" s="242"/>
      <c r="CR22" s="191"/>
      <c r="CS22" s="243">
        <f>$M27</f>
        <v>262.73154808362273</v>
      </c>
      <c r="CT22" s="244"/>
      <c r="CU22" s="244">
        <f>IF(CO6=0,0,(CS22/CO6))*100</f>
        <v>87.577182694540909</v>
      </c>
      <c r="CV22" s="244"/>
      <c r="CY22" s="206" t="s">
        <v>406</v>
      </c>
      <c r="DG22" s="242"/>
      <c r="DH22" s="191"/>
      <c r="DI22" s="243">
        <f>$M27</f>
        <v>262.73154808362273</v>
      </c>
      <c r="DJ22" s="244"/>
      <c r="DK22" s="244">
        <f>IF(DE6=0,0,(DI22/DE6))*100</f>
        <v>80.840476333422373</v>
      </c>
      <c r="DL22" s="244"/>
      <c r="DO22" s="206" t="s">
        <v>406</v>
      </c>
      <c r="DW22" s="242"/>
      <c r="DX22" s="191"/>
      <c r="DY22" s="243">
        <f>$M27</f>
        <v>262.73154808362273</v>
      </c>
      <c r="DZ22" s="244"/>
      <c r="EA22" s="244">
        <f>IF(DU6=0,0,(DY22/DU6))*100</f>
        <v>75.066156595320777</v>
      </c>
      <c r="EB22" s="244"/>
      <c r="EE22" s="206" t="s">
        <v>406</v>
      </c>
      <c r="EM22" s="242"/>
      <c r="EN22" s="191"/>
      <c r="EO22" s="243">
        <f>$M27</f>
        <v>262.73154808362273</v>
      </c>
      <c r="EP22" s="244"/>
      <c r="EQ22" s="244">
        <f>IF(EK6=0,0,(EO22/EK6))*100</f>
        <v>70.061746155632733</v>
      </c>
      <c r="ER22" s="244"/>
      <c r="EU22" s="206" t="s">
        <v>406</v>
      </c>
      <c r="FC22" s="242"/>
      <c r="FD22" s="191"/>
      <c r="FE22" s="243">
        <f>$M27</f>
        <v>262.73154808362273</v>
      </c>
      <c r="FF22" s="244"/>
      <c r="FG22" s="244">
        <f>IF(FA6=0,0,(FE22/FA6))*100</f>
        <v>65.682887020905682</v>
      </c>
      <c r="FH22" s="244"/>
      <c r="FK22" s="206" t="s">
        <v>406</v>
      </c>
      <c r="FS22" s="242"/>
      <c r="FT22" s="191"/>
      <c r="FU22" s="243">
        <f>$M27</f>
        <v>262.73154808362273</v>
      </c>
      <c r="FV22" s="244"/>
      <c r="FW22" s="244">
        <f>IF(FQ6=0,0,(FU22/FQ6))*100</f>
        <v>61.819187784381811</v>
      </c>
      <c r="FX22" s="244"/>
      <c r="GA22" s="206" t="s">
        <v>406</v>
      </c>
      <c r="GI22" s="242"/>
      <c r="GJ22" s="191"/>
      <c r="GK22" s="243">
        <f>$M27</f>
        <v>262.73154808362273</v>
      </c>
      <c r="GL22" s="244"/>
      <c r="GM22" s="244">
        <f>IF(GG6=0,0,(GK22/GG6))*100</f>
        <v>58.38478846302727</v>
      </c>
      <c r="GN22" s="244"/>
      <c r="GQ22" s="206" t="s">
        <v>406</v>
      </c>
      <c r="GY22" s="242"/>
      <c r="GZ22" s="191"/>
      <c r="HA22" s="243">
        <f>$M27</f>
        <v>262.73154808362273</v>
      </c>
      <c r="HB22" s="244"/>
      <c r="HC22" s="244">
        <f>IF(GW6=0,0,(HA22/GW6))*100</f>
        <v>55.311904859710047</v>
      </c>
      <c r="HD22" s="244"/>
      <c r="HF22" s="172"/>
      <c r="HG22" s="172"/>
      <c r="HH22" s="17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2.75" x14ac:dyDescent="0.2">
      <c r="B23" s="263" t="s">
        <v>398</v>
      </c>
      <c r="C23" s="264"/>
      <c r="D23" s="264">
        <f>SUM(D13:D15)</f>
        <v>80</v>
      </c>
      <c r="E23" s="258"/>
      <c r="F23" s="258"/>
      <c r="G23" s="258"/>
      <c r="H23" s="259"/>
      <c r="I23" s="258"/>
      <c r="J23" s="259"/>
      <c r="K23" s="259"/>
      <c r="L23" s="265"/>
      <c r="M23" s="266"/>
      <c r="N23" s="248"/>
      <c r="O23" s="248"/>
      <c r="P23" s="248"/>
      <c r="R23" s="913"/>
      <c r="V23" s="206" t="s">
        <v>407</v>
      </c>
      <c r="AF23" s="243">
        <f>$M28</f>
        <v>312.30066416801952</v>
      </c>
      <c r="AG23" s="267"/>
      <c r="AH23" s="244">
        <f>IF(AB6=0,0,AF23/AB6*100)</f>
        <v>156.15033208400976</v>
      </c>
      <c r="AI23" s="244"/>
      <c r="AM23" s="206" t="s">
        <v>407</v>
      </c>
      <c r="AW23" s="243">
        <f>$M28</f>
        <v>312.30066416801952</v>
      </c>
      <c r="AX23" s="267"/>
      <c r="AY23" s="244">
        <f>IF(AS6=0,0,AW23/AS6*100)</f>
        <v>138.80029518578644</v>
      </c>
      <c r="AZ23" s="244"/>
      <c r="BC23" s="206" t="s">
        <v>407</v>
      </c>
      <c r="BM23" s="243">
        <f>$M28</f>
        <v>312.30066416801952</v>
      </c>
      <c r="BN23" s="267"/>
      <c r="BO23" s="244">
        <f>IF(BI6=0,0,BM23/BI6*100)</f>
        <v>124.92026566720781</v>
      </c>
      <c r="BP23" s="244"/>
      <c r="BS23" s="206" t="s">
        <v>407</v>
      </c>
      <c r="CC23" s="243">
        <f>$M28</f>
        <v>312.30066416801952</v>
      </c>
      <c r="CD23" s="267"/>
      <c r="CE23" s="244">
        <f>IF(BY6=0,0,CC23/BY6*100)</f>
        <v>113.56387787927981</v>
      </c>
      <c r="CF23" s="244"/>
      <c r="CI23" s="206" t="s">
        <v>407</v>
      </c>
      <c r="CS23" s="243">
        <f>$M28</f>
        <v>312.30066416801952</v>
      </c>
      <c r="CT23" s="267"/>
      <c r="CU23" s="244">
        <f>IF(CO6=0,0,CS23/CO6*100)</f>
        <v>104.10022138933984</v>
      </c>
      <c r="CV23" s="244"/>
      <c r="CY23" s="206" t="s">
        <v>407</v>
      </c>
      <c r="DI23" s="243">
        <f>$M28</f>
        <v>312.30066416801952</v>
      </c>
      <c r="DJ23" s="267"/>
      <c r="DK23" s="244">
        <f>IF(DE6=0,0,DI23/DE6*100)</f>
        <v>96.092512051698321</v>
      </c>
      <c r="DL23" s="244"/>
      <c r="DO23" s="206" t="s">
        <v>407</v>
      </c>
      <c r="DY23" s="243">
        <f>$M28</f>
        <v>312.30066416801952</v>
      </c>
      <c r="DZ23" s="267"/>
      <c r="EA23" s="244">
        <f>IF(DU6=0,0,DY23/DU6*100)</f>
        <v>89.228761190862713</v>
      </c>
      <c r="EB23" s="244"/>
      <c r="EE23" s="206" t="s">
        <v>407</v>
      </c>
      <c r="EO23" s="243">
        <f>$M28</f>
        <v>312.30066416801952</v>
      </c>
      <c r="EP23" s="267"/>
      <c r="EQ23" s="244">
        <f>IF(EK6=0,0,EO23/EK6*100)</f>
        <v>83.280177111471872</v>
      </c>
      <c r="ER23" s="244"/>
      <c r="EU23" s="206" t="s">
        <v>407</v>
      </c>
      <c r="FE23" s="243">
        <f>$M28</f>
        <v>312.30066416801952</v>
      </c>
      <c r="FF23" s="267"/>
      <c r="FG23" s="244">
        <f>IF(FA6=0,0,FE23/FA6*100)</f>
        <v>78.075166042004881</v>
      </c>
      <c r="FH23" s="244"/>
      <c r="FK23" s="206" t="s">
        <v>407</v>
      </c>
      <c r="FU23" s="243">
        <f>$M28</f>
        <v>312.30066416801952</v>
      </c>
      <c r="FV23" s="267"/>
      <c r="FW23" s="244">
        <f>IF(FQ6=0,0,FU23/FQ6*100)</f>
        <v>73.482509216004601</v>
      </c>
      <c r="FX23" s="244"/>
      <c r="GA23" s="206" t="s">
        <v>407</v>
      </c>
      <c r="GK23" s="243">
        <f>$M28</f>
        <v>312.30066416801952</v>
      </c>
      <c r="GL23" s="267"/>
      <c r="GM23" s="244">
        <f>IF(GG6=0,0,GK23/GG6*100)</f>
        <v>69.400147592893219</v>
      </c>
      <c r="GN23" s="244"/>
      <c r="GQ23" s="206" t="s">
        <v>407</v>
      </c>
      <c r="HA23" s="243">
        <f>$M28</f>
        <v>312.30066416801952</v>
      </c>
      <c r="HB23" s="267"/>
      <c r="HC23" s="244">
        <f>IF(GW6=0,0,HA23/GW6*100)</f>
        <v>65.747508245898842</v>
      </c>
      <c r="HD23" s="244"/>
      <c r="HF23" s="172"/>
      <c r="HG23" s="172"/>
      <c r="HH23" s="172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2.75" x14ac:dyDescent="0.2">
      <c r="B24" s="202" t="s">
        <v>400</v>
      </c>
      <c r="D24" s="162">
        <f>Data!E15</f>
        <v>40</v>
      </c>
      <c r="F24" s="162">
        <f>IF(D24=0,0,Data!E42)</f>
        <v>4.5</v>
      </c>
      <c r="H24" s="183">
        <f>Data!E39</f>
        <v>180</v>
      </c>
      <c r="J24" s="245">
        <f>IF(M24=0,0,(M24/F24))</f>
        <v>91.069831422822091</v>
      </c>
      <c r="K24" s="183"/>
      <c r="L24" s="246"/>
      <c r="M24" s="247">
        <f>IF(Data!E16=0,0,('Infrastructure Detailed'!AU6))</f>
        <v>409.81424140269939</v>
      </c>
      <c r="N24" s="248"/>
      <c r="O24" s="248">
        <f>IF(H6=0,0,(M24/H6)*100)</f>
        <v>0</v>
      </c>
      <c r="P24" s="248"/>
      <c r="R24" s="913"/>
      <c r="V24" s="198" t="s">
        <v>408</v>
      </c>
      <c r="W24" s="262"/>
      <c r="X24" s="262">
        <f>SUM(X19:X21)</f>
        <v>80</v>
      </c>
      <c r="AD24" s="191"/>
      <c r="AE24" s="191"/>
      <c r="AF24" s="243"/>
      <c r="AG24" s="267"/>
      <c r="AH24" s="244"/>
      <c r="AI24" s="244"/>
      <c r="AM24" s="198" t="s">
        <v>408</v>
      </c>
      <c r="AN24" s="262"/>
      <c r="AO24" s="262">
        <f>SUM(AO19:AO21)</f>
        <v>80</v>
      </c>
      <c r="AU24" s="191"/>
      <c r="AV24" s="191"/>
      <c r="AW24" s="243"/>
      <c r="AX24" s="267"/>
      <c r="AY24" s="244"/>
      <c r="AZ24" s="244"/>
      <c r="BC24" s="198" t="s">
        <v>408</v>
      </c>
      <c r="BD24" s="262"/>
      <c r="BE24" s="262">
        <f>SUM(BE19:BE21)</f>
        <v>80</v>
      </c>
      <c r="BK24" s="191"/>
      <c r="BL24" s="191"/>
      <c r="BM24" s="243"/>
      <c r="BN24" s="267"/>
      <c r="BO24" s="244"/>
      <c r="BP24" s="244"/>
      <c r="BS24" s="198" t="s">
        <v>408</v>
      </c>
      <c r="BT24" s="262"/>
      <c r="BU24" s="262">
        <f>SUM(BU19:BU21)</f>
        <v>80</v>
      </c>
      <c r="CA24" s="191"/>
      <c r="CB24" s="191"/>
      <c r="CC24" s="243"/>
      <c r="CD24" s="267"/>
      <c r="CE24" s="244"/>
      <c r="CF24" s="244"/>
      <c r="CI24" s="198" t="s">
        <v>408</v>
      </c>
      <c r="CJ24" s="262"/>
      <c r="CK24" s="262">
        <f>SUM(CK19:CK21)</f>
        <v>80</v>
      </c>
      <c r="CQ24" s="191"/>
      <c r="CR24" s="191"/>
      <c r="CS24" s="243"/>
      <c r="CT24" s="267"/>
      <c r="CU24" s="244"/>
      <c r="CV24" s="244"/>
      <c r="CY24" s="198" t="s">
        <v>408</v>
      </c>
      <c r="CZ24" s="262"/>
      <c r="DA24" s="262">
        <f>SUM(DA19:DA21)</f>
        <v>80</v>
      </c>
      <c r="DG24" s="191"/>
      <c r="DH24" s="191"/>
      <c r="DI24" s="243"/>
      <c r="DJ24" s="267"/>
      <c r="DK24" s="244"/>
      <c r="DL24" s="244"/>
      <c r="DO24" s="198" t="s">
        <v>408</v>
      </c>
      <c r="DP24" s="262"/>
      <c r="DQ24" s="262">
        <f>SUM(DQ19:DQ21)</f>
        <v>80</v>
      </c>
      <c r="DW24" s="191"/>
      <c r="DX24" s="191"/>
      <c r="DY24" s="243"/>
      <c r="DZ24" s="267"/>
      <c r="EA24" s="244"/>
      <c r="EB24" s="244"/>
      <c r="EE24" s="198" t="s">
        <v>408</v>
      </c>
      <c r="EF24" s="262"/>
      <c r="EG24" s="262">
        <f>SUM(EG19:EG21)</f>
        <v>80</v>
      </c>
      <c r="EM24" s="191"/>
      <c r="EN24" s="191"/>
      <c r="EO24" s="243"/>
      <c r="EP24" s="267"/>
      <c r="EQ24" s="244"/>
      <c r="ER24" s="244"/>
      <c r="EU24" s="198" t="s">
        <v>408</v>
      </c>
      <c r="EV24" s="262"/>
      <c r="EW24" s="262">
        <f>SUM(EW19:EW21)</f>
        <v>80</v>
      </c>
      <c r="FC24" s="191"/>
      <c r="FD24" s="191"/>
      <c r="FE24" s="243"/>
      <c r="FF24" s="267"/>
      <c r="FG24" s="244"/>
      <c r="FH24" s="244"/>
      <c r="FK24" s="198" t="s">
        <v>408</v>
      </c>
      <c r="FL24" s="262"/>
      <c r="FM24" s="262">
        <f>SUM(FM19:FM21)</f>
        <v>80</v>
      </c>
      <c r="FS24" s="191"/>
      <c r="FT24" s="191"/>
      <c r="FU24" s="243"/>
      <c r="FV24" s="267"/>
      <c r="FW24" s="244"/>
      <c r="FX24" s="244"/>
      <c r="GA24" s="198" t="s">
        <v>408</v>
      </c>
      <c r="GB24" s="262"/>
      <c r="GC24" s="262">
        <f>SUM(GC19:GC21)</f>
        <v>80</v>
      </c>
      <c r="GI24" s="191"/>
      <c r="GJ24" s="191"/>
      <c r="GK24" s="243"/>
      <c r="GL24" s="267"/>
      <c r="GM24" s="244"/>
      <c r="GN24" s="244"/>
      <c r="GQ24" s="198" t="s">
        <v>408</v>
      </c>
      <c r="GR24" s="262"/>
      <c r="GS24" s="262">
        <f>SUM(GS19:GS21)</f>
        <v>80</v>
      </c>
      <c r="GY24" s="191"/>
      <c r="GZ24" s="191"/>
      <c r="HA24" s="243"/>
      <c r="HB24" s="267"/>
      <c r="HC24" s="244"/>
      <c r="HD24" s="244"/>
      <c r="HF24" s="172"/>
      <c r="HG24" s="172"/>
      <c r="HH24" s="172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2.75" x14ac:dyDescent="0.2">
      <c r="B25" s="257" t="s">
        <v>402</v>
      </c>
      <c r="C25" s="258"/>
      <c r="D25" s="258"/>
      <c r="E25" s="258"/>
      <c r="F25" s="258"/>
      <c r="G25" s="258"/>
      <c r="H25" s="259"/>
      <c r="I25" s="258"/>
      <c r="J25" s="260"/>
      <c r="K25" s="259"/>
      <c r="L25" s="254">
        <f>SUM(M24:M25)</f>
        <v>672.54578948632206</v>
      </c>
      <c r="M25" s="261">
        <f>IF(Data!E15=0,0,('Infrastructure Detailed'!Q6*Data!E16)+'Infrastructure Detailed'!DC6)</f>
        <v>262.73154808362273</v>
      </c>
      <c r="N25" s="248"/>
      <c r="O25" s="248">
        <f>IF(H6=0,0,(M25/H6)*100)</f>
        <v>0</v>
      </c>
      <c r="P25" s="248"/>
      <c r="R25" s="913"/>
      <c r="V25" s="198" t="s">
        <v>409</v>
      </c>
      <c r="W25" s="262"/>
      <c r="X25" s="262">
        <f>X18+X24</f>
        <v>160</v>
      </c>
      <c r="AB25" s="268">
        <f>$H34</f>
        <v>1080</v>
      </c>
      <c r="AC25" s="168" t="s">
        <v>410</v>
      </c>
      <c r="AD25" s="191"/>
      <c r="AE25" s="191"/>
      <c r="AF25" s="243"/>
      <c r="AG25" s="244"/>
      <c r="AH25" s="244"/>
      <c r="AI25" s="244"/>
      <c r="AM25" s="198" t="s">
        <v>409</v>
      </c>
      <c r="AN25" s="262"/>
      <c r="AO25" s="262">
        <f>AO18+AO24</f>
        <v>160</v>
      </c>
      <c r="AS25" s="268">
        <f>$H34</f>
        <v>1080</v>
      </c>
      <c r="AT25" s="168" t="s">
        <v>410</v>
      </c>
      <c r="AU25" s="191"/>
      <c r="AV25" s="191"/>
      <c r="AW25" s="243"/>
      <c r="AX25" s="244"/>
      <c r="AY25" s="244"/>
      <c r="AZ25" s="244"/>
      <c r="BC25" s="198" t="s">
        <v>409</v>
      </c>
      <c r="BD25" s="262"/>
      <c r="BE25" s="262">
        <f>BE18+BE24</f>
        <v>160</v>
      </c>
      <c r="BI25" s="268">
        <f>$H34</f>
        <v>1080</v>
      </c>
      <c r="BJ25" s="168" t="s">
        <v>410</v>
      </c>
      <c r="BK25" s="191"/>
      <c r="BL25" s="191"/>
      <c r="BM25" s="243"/>
      <c r="BN25" s="244"/>
      <c r="BO25" s="244"/>
      <c r="BP25" s="244"/>
      <c r="BS25" s="198" t="s">
        <v>409</v>
      </c>
      <c r="BT25" s="262"/>
      <c r="BU25" s="262">
        <f>BU18+BU24</f>
        <v>160</v>
      </c>
      <c r="BY25" s="268">
        <f>$H34</f>
        <v>1080</v>
      </c>
      <c r="BZ25" s="168" t="s">
        <v>410</v>
      </c>
      <c r="CA25" s="191"/>
      <c r="CB25" s="191"/>
      <c r="CC25" s="243"/>
      <c r="CD25" s="244"/>
      <c r="CE25" s="244"/>
      <c r="CF25" s="244"/>
      <c r="CI25" s="198" t="s">
        <v>409</v>
      </c>
      <c r="CJ25" s="262"/>
      <c r="CK25" s="262">
        <f>CK18+CK24</f>
        <v>160</v>
      </c>
      <c r="CO25" s="268">
        <f>$H34</f>
        <v>1080</v>
      </c>
      <c r="CP25" s="168" t="s">
        <v>410</v>
      </c>
      <c r="CQ25" s="191"/>
      <c r="CR25" s="191"/>
      <c r="CS25" s="243"/>
      <c r="CT25" s="244"/>
      <c r="CU25" s="244"/>
      <c r="CV25" s="244"/>
      <c r="CY25" s="198" t="s">
        <v>409</v>
      </c>
      <c r="CZ25" s="262"/>
      <c r="DA25" s="262">
        <f>DA18+DA24</f>
        <v>160</v>
      </c>
      <c r="DE25" s="268">
        <f>$H34</f>
        <v>1080</v>
      </c>
      <c r="DF25" s="168" t="s">
        <v>410</v>
      </c>
      <c r="DG25" s="191"/>
      <c r="DH25" s="191"/>
      <c r="DI25" s="243"/>
      <c r="DJ25" s="244"/>
      <c r="DK25" s="244"/>
      <c r="DL25" s="244"/>
      <c r="DO25" s="198" t="s">
        <v>409</v>
      </c>
      <c r="DP25" s="262"/>
      <c r="DQ25" s="262">
        <f>DQ18+DQ24</f>
        <v>160</v>
      </c>
      <c r="DU25" s="268">
        <f>$H34</f>
        <v>1080</v>
      </c>
      <c r="DV25" s="168" t="s">
        <v>410</v>
      </c>
      <c r="DW25" s="191"/>
      <c r="DX25" s="191"/>
      <c r="DY25" s="243"/>
      <c r="DZ25" s="244"/>
      <c r="EA25" s="244"/>
      <c r="EB25" s="244"/>
      <c r="EE25" s="198" t="s">
        <v>409</v>
      </c>
      <c r="EF25" s="262"/>
      <c r="EG25" s="262">
        <f>EG18+EG24</f>
        <v>160</v>
      </c>
      <c r="EK25" s="268">
        <f>$H34</f>
        <v>1080</v>
      </c>
      <c r="EL25" s="168" t="s">
        <v>410</v>
      </c>
      <c r="EM25" s="191"/>
      <c r="EN25" s="191"/>
      <c r="EO25" s="243"/>
      <c r="EP25" s="244"/>
      <c r="EQ25" s="244"/>
      <c r="ER25" s="244"/>
      <c r="EU25" s="198" t="s">
        <v>409</v>
      </c>
      <c r="EV25" s="262"/>
      <c r="EW25" s="262">
        <f>EW18+EW24</f>
        <v>160</v>
      </c>
      <c r="FA25" s="268">
        <f>$H34</f>
        <v>1080</v>
      </c>
      <c r="FB25" s="168" t="s">
        <v>410</v>
      </c>
      <c r="FC25" s="191"/>
      <c r="FD25" s="191"/>
      <c r="FE25" s="243"/>
      <c r="FF25" s="244"/>
      <c r="FG25" s="244"/>
      <c r="FH25" s="244"/>
      <c r="FK25" s="198" t="s">
        <v>409</v>
      </c>
      <c r="FL25" s="262"/>
      <c r="FM25" s="262">
        <f>FM18+FM24</f>
        <v>160</v>
      </c>
      <c r="FQ25" s="268">
        <f>$H34</f>
        <v>1080</v>
      </c>
      <c r="FR25" s="168" t="s">
        <v>410</v>
      </c>
      <c r="FS25" s="191"/>
      <c r="FT25" s="191"/>
      <c r="FU25" s="243"/>
      <c r="FV25" s="244"/>
      <c r="FW25" s="244"/>
      <c r="FX25" s="244"/>
      <c r="GA25" s="198" t="s">
        <v>409</v>
      </c>
      <c r="GB25" s="262"/>
      <c r="GC25" s="262">
        <f>GC18+GC24</f>
        <v>160</v>
      </c>
      <c r="GG25" s="268">
        <f>$H34</f>
        <v>1080</v>
      </c>
      <c r="GH25" s="168" t="s">
        <v>410</v>
      </c>
      <c r="GI25" s="191"/>
      <c r="GJ25" s="191"/>
      <c r="GK25" s="243"/>
      <c r="GL25" s="244"/>
      <c r="GM25" s="244"/>
      <c r="GN25" s="244"/>
      <c r="GQ25" s="198" t="s">
        <v>409</v>
      </c>
      <c r="GR25" s="262"/>
      <c r="GS25" s="262">
        <f>GS18+GS24</f>
        <v>160</v>
      </c>
      <c r="GW25" s="268">
        <f>$H34</f>
        <v>1080</v>
      </c>
      <c r="GX25" s="168" t="s">
        <v>410</v>
      </c>
      <c r="GY25" s="191"/>
      <c r="GZ25" s="191"/>
      <c r="HA25" s="243"/>
      <c r="HB25" s="244"/>
      <c r="HC25" s="244"/>
      <c r="HD25" s="244"/>
      <c r="HF25" s="172"/>
      <c r="HG25" s="172"/>
      <c r="HH25" s="172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68" customFormat="1" ht="12.75" x14ac:dyDescent="0.2">
      <c r="A26" s="869"/>
      <c r="B26" s="202" t="s">
        <v>404</v>
      </c>
      <c r="C26" s="162"/>
      <c r="D26" s="162">
        <f>Data!E17</f>
        <v>40</v>
      </c>
      <c r="E26" s="162"/>
      <c r="F26" s="162">
        <f>IF(D26=0,0,Data!E42)</f>
        <v>4.5</v>
      </c>
      <c r="G26" s="162"/>
      <c r="H26" s="183">
        <f>H24</f>
        <v>180</v>
      </c>
      <c r="I26" s="162"/>
      <c r="J26" s="245">
        <f>IF(M26=0,0,(M26/F26))</f>
        <v>208.56143250213083</v>
      </c>
      <c r="K26" s="183"/>
      <c r="L26" s="246"/>
      <c r="M26" s="247">
        <f>IF(Data!E18=0,0,('Infrastructure Detailed'!BE6))</f>
        <v>938.52644625958874</v>
      </c>
      <c r="N26" s="248"/>
      <c r="O26" s="248">
        <f>IF(H6=0,0,(M26/H6)*100)</f>
        <v>0</v>
      </c>
      <c r="P26" s="248"/>
      <c r="Q26" s="912"/>
      <c r="R26" s="913"/>
      <c r="S26" s="167"/>
      <c r="V26" s="206" t="s">
        <v>380</v>
      </c>
      <c r="X26" s="262">
        <f>$D35</f>
        <v>0</v>
      </c>
      <c r="AB26" s="269"/>
      <c r="AD26" s="191"/>
      <c r="AE26" s="191"/>
      <c r="AF26" s="243"/>
      <c r="AG26" s="244"/>
      <c r="AH26" s="244"/>
      <c r="AI26" s="244"/>
      <c r="AL26" s="169"/>
      <c r="AM26" s="206" t="s">
        <v>380</v>
      </c>
      <c r="AO26" s="262">
        <f>$D35</f>
        <v>0</v>
      </c>
      <c r="AS26" s="269"/>
      <c r="AU26" s="191"/>
      <c r="AV26" s="191"/>
      <c r="AW26" s="243"/>
      <c r="AX26" s="244"/>
      <c r="AY26" s="244"/>
      <c r="AZ26" s="244"/>
      <c r="BC26" s="206" t="s">
        <v>380</v>
      </c>
      <c r="BE26" s="262">
        <f>$D35</f>
        <v>0</v>
      </c>
      <c r="BI26" s="269"/>
      <c r="BK26" s="191"/>
      <c r="BL26" s="191"/>
      <c r="BM26" s="243"/>
      <c r="BN26" s="244"/>
      <c r="BO26" s="244"/>
      <c r="BP26" s="244"/>
      <c r="BS26" s="206" t="s">
        <v>380</v>
      </c>
      <c r="BU26" s="262">
        <f>$D35</f>
        <v>0</v>
      </c>
      <c r="BY26" s="269"/>
      <c r="CA26" s="191"/>
      <c r="CB26" s="191"/>
      <c r="CC26" s="243"/>
      <c r="CD26" s="244"/>
      <c r="CE26" s="244"/>
      <c r="CF26" s="244"/>
      <c r="CI26" s="206" t="s">
        <v>380</v>
      </c>
      <c r="CK26" s="262">
        <f>$D35</f>
        <v>0</v>
      </c>
      <c r="CO26" s="269"/>
      <c r="CQ26" s="191"/>
      <c r="CR26" s="191"/>
      <c r="CS26" s="243"/>
      <c r="CT26" s="244"/>
      <c r="CU26" s="244"/>
      <c r="CV26" s="244"/>
      <c r="CY26" s="206" t="s">
        <v>380</v>
      </c>
      <c r="DA26" s="262">
        <f>$D35</f>
        <v>0</v>
      </c>
      <c r="DE26" s="269"/>
      <c r="DG26" s="191"/>
      <c r="DH26" s="191"/>
      <c r="DI26" s="243"/>
      <c r="DJ26" s="244"/>
      <c r="DK26" s="244"/>
      <c r="DL26" s="244"/>
      <c r="DO26" s="206" t="s">
        <v>380</v>
      </c>
      <c r="DQ26" s="262">
        <f>$D35</f>
        <v>0</v>
      </c>
      <c r="DU26" s="269"/>
      <c r="DW26" s="191"/>
      <c r="DX26" s="191"/>
      <c r="DY26" s="243"/>
      <c r="DZ26" s="244"/>
      <c r="EA26" s="244"/>
      <c r="EB26" s="244"/>
      <c r="EE26" s="206" t="s">
        <v>380</v>
      </c>
      <c r="EG26" s="262">
        <f>$D35</f>
        <v>0</v>
      </c>
      <c r="EK26" s="269"/>
      <c r="EM26" s="191"/>
      <c r="EN26" s="191"/>
      <c r="EO26" s="243"/>
      <c r="EP26" s="244"/>
      <c r="EQ26" s="244"/>
      <c r="ER26" s="244"/>
      <c r="EU26" s="206" t="s">
        <v>380</v>
      </c>
      <c r="EW26" s="262">
        <f>$D35</f>
        <v>0</v>
      </c>
      <c r="FA26" s="269"/>
      <c r="FC26" s="191"/>
      <c r="FD26" s="191"/>
      <c r="FE26" s="243"/>
      <c r="FF26" s="244"/>
      <c r="FG26" s="244"/>
      <c r="FH26" s="244"/>
      <c r="FK26" s="206" t="s">
        <v>380</v>
      </c>
      <c r="FM26" s="262">
        <f>$D35</f>
        <v>0</v>
      </c>
      <c r="FQ26" s="269"/>
      <c r="FS26" s="191"/>
      <c r="FT26" s="191"/>
      <c r="FU26" s="243"/>
      <c r="FV26" s="244"/>
      <c r="FW26" s="244"/>
      <c r="FX26" s="244"/>
      <c r="GA26" s="206" t="s">
        <v>380</v>
      </c>
      <c r="GC26" s="262">
        <f>$D35</f>
        <v>0</v>
      </c>
      <c r="GG26" s="269"/>
      <c r="GI26" s="191"/>
      <c r="GJ26" s="191"/>
      <c r="GK26" s="243"/>
      <c r="GL26" s="244"/>
      <c r="GM26" s="244"/>
      <c r="GN26" s="244"/>
      <c r="GQ26" s="206" t="s">
        <v>380</v>
      </c>
      <c r="GS26" s="262">
        <f>$D35</f>
        <v>0</v>
      </c>
      <c r="GW26" s="269"/>
      <c r="GY26" s="191"/>
      <c r="GZ26" s="191"/>
      <c r="HA26" s="243"/>
      <c r="HB26" s="244"/>
      <c r="HC26" s="244"/>
      <c r="HD26" s="244"/>
      <c r="HF26" s="172"/>
      <c r="HG26" s="172"/>
      <c r="HH26" s="172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2.75" x14ac:dyDescent="0.2">
      <c r="B27" s="257" t="s">
        <v>406</v>
      </c>
      <c r="C27" s="258"/>
      <c r="D27" s="258"/>
      <c r="E27" s="258"/>
      <c r="F27" s="258"/>
      <c r="G27" s="258"/>
      <c r="H27" s="258"/>
      <c r="I27" s="258"/>
      <c r="J27" s="260"/>
      <c r="K27" s="259"/>
      <c r="L27" s="254">
        <f>SUM(M26:M27)</f>
        <v>1201.2579943432115</v>
      </c>
      <c r="M27" s="261">
        <f>IF(Data!E17=0,0,('Infrastructure Detailed'!Q6*Data!E18))</f>
        <v>262.73154808362273</v>
      </c>
      <c r="N27" s="248"/>
      <c r="O27" s="248">
        <f>IF(H6=0,0,(M27/H6))*100</f>
        <v>0</v>
      </c>
      <c r="P27" s="248"/>
      <c r="R27" s="913"/>
      <c r="V27" s="198" t="s">
        <v>411</v>
      </c>
      <c r="W27" s="262"/>
      <c r="X27" s="262">
        <f>SUM(X25:X26)</f>
        <v>160</v>
      </c>
      <c r="AD27" s="191"/>
      <c r="AE27" s="191"/>
      <c r="AF27" s="243"/>
      <c r="AG27" s="244"/>
      <c r="AH27" s="244"/>
      <c r="AI27" s="244"/>
      <c r="AM27" s="198" t="s">
        <v>411</v>
      </c>
      <c r="AN27" s="262"/>
      <c r="AO27" s="262">
        <f>SUM(AO25:AO26)</f>
        <v>160</v>
      </c>
      <c r="AU27" s="191"/>
      <c r="AV27" s="191"/>
      <c r="AW27" s="243"/>
      <c r="AX27" s="244"/>
      <c r="AY27" s="244"/>
      <c r="AZ27" s="244"/>
      <c r="BC27" s="198" t="s">
        <v>411</v>
      </c>
      <c r="BD27" s="262"/>
      <c r="BE27" s="262">
        <f>SUM(BE25:BE26)</f>
        <v>160</v>
      </c>
      <c r="BK27" s="191"/>
      <c r="BL27" s="191"/>
      <c r="BM27" s="243"/>
      <c r="BN27" s="244"/>
      <c r="BO27" s="244"/>
      <c r="BP27" s="244"/>
      <c r="BS27" s="198" t="s">
        <v>411</v>
      </c>
      <c r="BT27" s="262"/>
      <c r="BU27" s="262">
        <f>SUM(BU25:BU26)</f>
        <v>160</v>
      </c>
      <c r="CA27" s="191"/>
      <c r="CB27" s="191"/>
      <c r="CC27" s="243"/>
      <c r="CD27" s="244"/>
      <c r="CE27" s="244"/>
      <c r="CF27" s="244"/>
      <c r="CI27" s="198" t="s">
        <v>411</v>
      </c>
      <c r="CJ27" s="262"/>
      <c r="CK27" s="262">
        <f>SUM(CK25:CK26)</f>
        <v>160</v>
      </c>
      <c r="CQ27" s="191"/>
      <c r="CR27" s="191"/>
      <c r="CS27" s="243"/>
      <c r="CT27" s="244"/>
      <c r="CU27" s="244"/>
      <c r="CV27" s="244"/>
      <c r="CY27" s="198" t="s">
        <v>411</v>
      </c>
      <c r="CZ27" s="262"/>
      <c r="DA27" s="262">
        <f>SUM(DA25:DA26)</f>
        <v>160</v>
      </c>
      <c r="DG27" s="191"/>
      <c r="DH27" s="191"/>
      <c r="DI27" s="243"/>
      <c r="DJ27" s="244"/>
      <c r="DK27" s="244"/>
      <c r="DL27" s="244"/>
      <c r="DO27" s="198" t="s">
        <v>411</v>
      </c>
      <c r="DP27" s="262"/>
      <c r="DQ27" s="262">
        <f>SUM(DQ25:DQ26)</f>
        <v>160</v>
      </c>
      <c r="DW27" s="191"/>
      <c r="DX27" s="191"/>
      <c r="DY27" s="243"/>
      <c r="DZ27" s="244"/>
      <c r="EA27" s="244"/>
      <c r="EB27" s="244"/>
      <c r="EE27" s="198" t="s">
        <v>411</v>
      </c>
      <c r="EF27" s="262"/>
      <c r="EG27" s="262">
        <f>SUM(EG25:EG26)</f>
        <v>160</v>
      </c>
      <c r="EM27" s="191"/>
      <c r="EN27" s="191"/>
      <c r="EO27" s="243"/>
      <c r="EP27" s="244"/>
      <c r="EQ27" s="244"/>
      <c r="ER27" s="244"/>
      <c r="EU27" s="198" t="s">
        <v>411</v>
      </c>
      <c r="EV27" s="262"/>
      <c r="EW27" s="262">
        <f>SUM(EW25:EW26)</f>
        <v>160</v>
      </c>
      <c r="FC27" s="191"/>
      <c r="FD27" s="191"/>
      <c r="FE27" s="243"/>
      <c r="FF27" s="244"/>
      <c r="FG27" s="244"/>
      <c r="FH27" s="244"/>
      <c r="FK27" s="198" t="s">
        <v>411</v>
      </c>
      <c r="FL27" s="262"/>
      <c r="FM27" s="262">
        <f>SUM(FM25:FM26)</f>
        <v>160</v>
      </c>
      <c r="FS27" s="191"/>
      <c r="FT27" s="191"/>
      <c r="FU27" s="243"/>
      <c r="FV27" s="244"/>
      <c r="FW27" s="244"/>
      <c r="FX27" s="244"/>
      <c r="GA27" s="198" t="s">
        <v>411</v>
      </c>
      <c r="GB27" s="262"/>
      <c r="GC27" s="262">
        <f>SUM(GC25:GC26)</f>
        <v>160</v>
      </c>
      <c r="GI27" s="191"/>
      <c r="GJ27" s="191"/>
      <c r="GK27" s="243"/>
      <c r="GL27" s="244"/>
      <c r="GM27" s="244"/>
      <c r="GN27" s="244"/>
      <c r="GQ27" s="198" t="s">
        <v>411</v>
      </c>
      <c r="GR27" s="262"/>
      <c r="GS27" s="262">
        <f>SUM(GS25:GS26)</f>
        <v>160</v>
      </c>
      <c r="GY27" s="191"/>
      <c r="GZ27" s="191"/>
      <c r="HA27" s="243"/>
      <c r="HB27" s="244"/>
      <c r="HC27" s="244"/>
      <c r="HD27" s="244"/>
      <c r="HF27" s="172"/>
      <c r="HG27" s="172"/>
      <c r="HH27" s="172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272" customFormat="1" ht="12.75" x14ac:dyDescent="0.2">
      <c r="A28" s="869"/>
      <c r="B28" s="257" t="s">
        <v>407</v>
      </c>
      <c r="C28" s="258"/>
      <c r="D28" s="258"/>
      <c r="E28" s="258"/>
      <c r="F28" s="258"/>
      <c r="G28" s="258"/>
      <c r="H28" s="258"/>
      <c r="I28" s="258"/>
      <c r="J28" s="258"/>
      <c r="K28" s="258"/>
      <c r="L28" s="265"/>
      <c r="M28" s="261">
        <f>'Infrastructure Detailed'!BO6</f>
        <v>312.30066416801952</v>
      </c>
      <c r="N28" s="270"/>
      <c r="O28" s="248">
        <f>IF(H6=0,0,M28/H6*100)</f>
        <v>0</v>
      </c>
      <c r="P28" s="248"/>
      <c r="Q28" s="912"/>
      <c r="R28" s="913"/>
      <c r="S28" s="167"/>
      <c r="T28" s="168"/>
      <c r="U28" s="168"/>
      <c r="V28" s="271"/>
      <c r="Z28" s="273" t="s">
        <v>412</v>
      </c>
      <c r="AD28" s="274"/>
      <c r="AE28" s="274"/>
      <c r="AF28" s="275"/>
      <c r="AG28" s="244"/>
      <c r="AH28" s="244"/>
      <c r="AI28" s="244"/>
      <c r="AJ28" s="168"/>
      <c r="AK28" s="168"/>
      <c r="AL28" s="169"/>
      <c r="AM28" s="271"/>
      <c r="AQ28" s="273" t="s">
        <v>412</v>
      </c>
      <c r="AU28" s="274"/>
      <c r="AV28" s="274"/>
      <c r="AW28" s="275"/>
      <c r="AX28" s="244"/>
      <c r="AY28" s="244"/>
      <c r="AZ28" s="244"/>
      <c r="BA28" s="168"/>
      <c r="BB28" s="168"/>
      <c r="BC28" s="271"/>
      <c r="BG28" s="273" t="s">
        <v>412</v>
      </c>
      <c r="BK28" s="274"/>
      <c r="BL28" s="274"/>
      <c r="BM28" s="275"/>
      <c r="BN28" s="244"/>
      <c r="BO28" s="244"/>
      <c r="BP28" s="244"/>
      <c r="BQ28" s="168"/>
      <c r="BR28" s="168"/>
      <c r="BS28" s="271"/>
      <c r="BW28" s="273" t="s">
        <v>412</v>
      </c>
      <c r="CA28" s="274"/>
      <c r="CB28" s="274"/>
      <c r="CC28" s="275"/>
      <c r="CD28" s="244"/>
      <c r="CE28" s="244"/>
      <c r="CF28" s="244"/>
      <c r="CG28" s="168"/>
      <c r="CH28" s="168"/>
      <c r="CI28" s="271"/>
      <c r="CM28" s="273" t="s">
        <v>412</v>
      </c>
      <c r="CQ28" s="274"/>
      <c r="CR28" s="274"/>
      <c r="CS28" s="275"/>
      <c r="CT28" s="244"/>
      <c r="CU28" s="244"/>
      <c r="CV28" s="244"/>
      <c r="CW28" s="168"/>
      <c r="CX28" s="168"/>
      <c r="CY28" s="271"/>
      <c r="DC28" s="273" t="s">
        <v>412</v>
      </c>
      <c r="DG28" s="274"/>
      <c r="DH28" s="274"/>
      <c r="DI28" s="275"/>
      <c r="DJ28" s="244"/>
      <c r="DK28" s="244"/>
      <c r="DL28" s="244"/>
      <c r="DM28" s="168"/>
      <c r="DN28" s="168"/>
      <c r="DO28" s="271"/>
      <c r="DS28" s="273" t="s">
        <v>412</v>
      </c>
      <c r="DW28" s="274"/>
      <c r="DX28" s="274"/>
      <c r="DY28" s="275"/>
      <c r="DZ28" s="244"/>
      <c r="EA28" s="244"/>
      <c r="EB28" s="244"/>
      <c r="EC28" s="168"/>
      <c r="ED28" s="168"/>
      <c r="EE28" s="271"/>
      <c r="EI28" s="273" t="s">
        <v>412</v>
      </c>
      <c r="EM28" s="274"/>
      <c r="EN28" s="274"/>
      <c r="EO28" s="275"/>
      <c r="EP28" s="244"/>
      <c r="EQ28" s="244"/>
      <c r="ER28" s="244"/>
      <c r="ES28" s="168"/>
      <c r="ET28" s="168"/>
      <c r="EU28" s="271"/>
      <c r="EY28" s="273" t="s">
        <v>412</v>
      </c>
      <c r="FC28" s="274"/>
      <c r="FD28" s="274"/>
      <c r="FE28" s="275"/>
      <c r="FF28" s="244"/>
      <c r="FG28" s="244"/>
      <c r="FH28" s="244"/>
      <c r="FI28" s="168"/>
      <c r="FJ28" s="168"/>
      <c r="FK28" s="271"/>
      <c r="FO28" s="273" t="s">
        <v>412</v>
      </c>
      <c r="FS28" s="274"/>
      <c r="FT28" s="274"/>
      <c r="FU28" s="275"/>
      <c r="FV28" s="244"/>
      <c r="FW28" s="244"/>
      <c r="FX28" s="244"/>
      <c r="FY28" s="168"/>
      <c r="FZ28" s="168"/>
      <c r="GA28" s="271"/>
      <c r="GE28" s="273" t="s">
        <v>412</v>
      </c>
      <c r="GI28" s="274"/>
      <c r="GJ28" s="274"/>
      <c r="GK28" s="275"/>
      <c r="GL28" s="244"/>
      <c r="GM28" s="244"/>
      <c r="GN28" s="244"/>
      <c r="GO28" s="168"/>
      <c r="GP28" s="168"/>
      <c r="GQ28" s="271"/>
      <c r="GU28" s="273" t="s">
        <v>412</v>
      </c>
      <c r="GY28" s="274"/>
      <c r="GZ28" s="274"/>
      <c r="HA28" s="275"/>
      <c r="HB28" s="244"/>
      <c r="HC28" s="244"/>
      <c r="HD28" s="244"/>
      <c r="HE28" s="168"/>
      <c r="HF28" s="172"/>
      <c r="HG28" s="172"/>
      <c r="HH28" s="172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87" customFormat="1" ht="12.75" x14ac:dyDescent="0.2">
      <c r="A29" s="869"/>
      <c r="B29" s="202" t="s">
        <v>413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63"/>
      <c r="M29" s="247">
        <f>IF('Infrastructure Detailed'!DM18=0,0,('Infrastructure Detailed'!DN56))</f>
        <v>0</v>
      </c>
      <c r="N29" s="270"/>
      <c r="O29" s="248">
        <f>IF(H6=0,0,M29/H6*100)</f>
        <v>0</v>
      </c>
      <c r="P29" s="248"/>
      <c r="Q29" s="912"/>
      <c r="R29" s="913"/>
      <c r="S29" s="167"/>
      <c r="T29" s="168"/>
      <c r="U29" s="168"/>
      <c r="V29" s="276" t="s">
        <v>414</v>
      </c>
      <c r="AD29" s="277"/>
      <c r="AE29" s="277"/>
      <c r="AF29" s="278"/>
      <c r="AG29" s="279"/>
      <c r="AH29" s="279"/>
      <c r="AI29" s="279"/>
      <c r="AJ29" s="168"/>
      <c r="AK29" s="168"/>
      <c r="AL29" s="169"/>
      <c r="AM29" s="276" t="s">
        <v>414</v>
      </c>
      <c r="AU29" s="277"/>
      <c r="AV29" s="277"/>
      <c r="AW29" s="278"/>
      <c r="AX29" s="279"/>
      <c r="AY29" s="279"/>
      <c r="AZ29" s="279"/>
      <c r="BA29" s="168"/>
      <c r="BB29" s="168"/>
      <c r="BC29" s="276" t="s">
        <v>414</v>
      </c>
      <c r="BK29" s="277"/>
      <c r="BL29" s="277"/>
      <c r="BM29" s="278"/>
      <c r="BN29" s="279"/>
      <c r="BO29" s="279"/>
      <c r="BP29" s="279"/>
      <c r="BQ29" s="168"/>
      <c r="BR29" s="168"/>
      <c r="BS29" s="276" t="s">
        <v>414</v>
      </c>
      <c r="CA29" s="277"/>
      <c r="CB29" s="277"/>
      <c r="CC29" s="278"/>
      <c r="CD29" s="279"/>
      <c r="CE29" s="279"/>
      <c r="CF29" s="279"/>
      <c r="CG29" s="168"/>
      <c r="CH29" s="168"/>
      <c r="CI29" s="276" t="s">
        <v>414</v>
      </c>
      <c r="CQ29" s="277"/>
      <c r="CR29" s="277"/>
      <c r="CS29" s="278"/>
      <c r="CT29" s="279"/>
      <c r="CU29" s="279"/>
      <c r="CV29" s="279"/>
      <c r="CW29" s="168"/>
      <c r="CX29" s="168"/>
      <c r="CY29" s="276" t="s">
        <v>414</v>
      </c>
      <c r="DG29" s="277"/>
      <c r="DH29" s="277"/>
      <c r="DI29" s="278"/>
      <c r="DJ29" s="279"/>
      <c r="DK29" s="279"/>
      <c r="DL29" s="279"/>
      <c r="DM29" s="168"/>
      <c r="DN29" s="168"/>
      <c r="DO29" s="276" t="s">
        <v>414</v>
      </c>
      <c r="DW29" s="277"/>
      <c r="DX29" s="277"/>
      <c r="DY29" s="278"/>
      <c r="DZ29" s="279"/>
      <c r="EA29" s="279"/>
      <c r="EB29" s="279"/>
      <c r="EC29" s="168"/>
      <c r="ED29" s="168"/>
      <c r="EE29" s="276" t="s">
        <v>414</v>
      </c>
      <c r="EM29" s="277"/>
      <c r="EN29" s="277"/>
      <c r="EO29" s="278"/>
      <c r="EP29" s="279"/>
      <c r="EQ29" s="279"/>
      <c r="ER29" s="279"/>
      <c r="ES29" s="168"/>
      <c r="ET29" s="168"/>
      <c r="EU29" s="276" t="s">
        <v>414</v>
      </c>
      <c r="FC29" s="277"/>
      <c r="FD29" s="277"/>
      <c r="FE29" s="278"/>
      <c r="FF29" s="279"/>
      <c r="FG29" s="279"/>
      <c r="FH29" s="279"/>
      <c r="FI29" s="168"/>
      <c r="FJ29" s="168"/>
      <c r="FK29" s="276" t="s">
        <v>414</v>
      </c>
      <c r="FS29" s="277"/>
      <c r="FT29" s="277"/>
      <c r="FU29" s="278"/>
      <c r="FV29" s="279"/>
      <c r="FW29" s="279"/>
      <c r="FX29" s="279"/>
      <c r="FY29" s="168"/>
      <c r="FZ29" s="168"/>
      <c r="GA29" s="276" t="s">
        <v>414</v>
      </c>
      <c r="GI29" s="277"/>
      <c r="GJ29" s="277"/>
      <c r="GK29" s="278"/>
      <c r="GL29" s="279"/>
      <c r="GM29" s="279"/>
      <c r="GN29" s="279"/>
      <c r="GO29" s="168"/>
      <c r="GP29" s="168"/>
      <c r="GQ29" s="276" t="s">
        <v>414</v>
      </c>
      <c r="GY29" s="277"/>
      <c r="GZ29" s="277"/>
      <c r="HA29" s="278"/>
      <c r="HB29" s="279"/>
      <c r="HC29" s="279"/>
      <c r="HD29" s="279"/>
      <c r="HE29" s="168"/>
      <c r="HF29" s="172"/>
      <c r="HG29" s="172"/>
      <c r="HH29" s="172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68" customFormat="1" ht="12.75" x14ac:dyDescent="0.2">
      <c r="A30" s="869"/>
      <c r="B30" s="257" t="s">
        <v>415</v>
      </c>
      <c r="C30" s="258"/>
      <c r="D30" s="258"/>
      <c r="E30" s="258"/>
      <c r="F30" s="258"/>
      <c r="G30" s="258"/>
      <c r="H30" s="258"/>
      <c r="I30" s="258"/>
      <c r="J30" s="258"/>
      <c r="K30" s="258"/>
      <c r="L30" s="163"/>
      <c r="M30" s="261">
        <f>IF('Infrastructure Detailed'!DM18=0,0,('Infrastructure Detailed'!DN57))</f>
        <v>0</v>
      </c>
      <c r="N30" s="270"/>
      <c r="O30" s="248">
        <f>IF(H6=0,0,M30/H6*100)</f>
        <v>0</v>
      </c>
      <c r="P30" s="248"/>
      <c r="Q30" s="912"/>
      <c r="R30" s="913"/>
      <c r="S30" s="167"/>
      <c r="V30" s="206" t="s">
        <v>416</v>
      </c>
      <c r="AD30" s="191"/>
      <c r="AE30" s="191"/>
      <c r="AF30" s="192">
        <f>$M39</f>
        <v>20.571428571428573</v>
      </c>
      <c r="AG30" s="244">
        <f>IF(AB5=0,0,(AF30/AB5)*100)</f>
        <v>10.285714285714286</v>
      </c>
      <c r="AH30" s="244">
        <f>IF(AB6=0,0,(AF30/AB6)*100)</f>
        <v>10.285714285714286</v>
      </c>
      <c r="AI30" s="244">
        <f>IF(AB7=0,0,(AF30/AB7)*100)</f>
        <v>10.285714285714286</v>
      </c>
      <c r="AL30" s="169"/>
      <c r="AM30" s="206" t="s">
        <v>416</v>
      </c>
      <c r="AU30" s="191"/>
      <c r="AV30" s="191"/>
      <c r="AW30" s="192">
        <f>$M39</f>
        <v>20.571428571428573</v>
      </c>
      <c r="AX30" s="244">
        <f>IF(AS5=0,0,(AW30/AS5)*100)</f>
        <v>9.1428571428571423</v>
      </c>
      <c r="AY30" s="244">
        <f>IF(AS6=0,0,(AW30/AS6)*100)</f>
        <v>9.1428571428571423</v>
      </c>
      <c r="AZ30" s="244">
        <f>IF(AS7=0,0,(AW30/AS7)*100)</f>
        <v>9.1428571428571423</v>
      </c>
      <c r="BC30" s="206" t="s">
        <v>416</v>
      </c>
      <c r="BK30" s="191"/>
      <c r="BL30" s="191"/>
      <c r="BM30" s="192">
        <f>$M39</f>
        <v>20.571428571428573</v>
      </c>
      <c r="BN30" s="244">
        <f>IF(BI5=0,0,(BM30/BI5)*100)</f>
        <v>8.2285714285714295</v>
      </c>
      <c r="BO30" s="244">
        <f>IF(BI6=0,0,(BM30/BI6)*100)</f>
        <v>8.2285714285714295</v>
      </c>
      <c r="BP30" s="244">
        <f>IF(BI7=0,0,(BM30/BI7)*100)</f>
        <v>8.2285714285714295</v>
      </c>
      <c r="BS30" s="206" t="s">
        <v>416</v>
      </c>
      <c r="CA30" s="191"/>
      <c r="CB30" s="191"/>
      <c r="CC30" s="192">
        <f>$M39</f>
        <v>20.571428571428573</v>
      </c>
      <c r="CD30" s="244">
        <f>IF(BY5=0,0,(CC30/BY5)*100)</f>
        <v>7.4805194805194803</v>
      </c>
      <c r="CE30" s="244">
        <f>IF(BY6=0,0,(CC30/BY6)*100)</f>
        <v>7.4805194805194803</v>
      </c>
      <c r="CF30" s="244">
        <f>IF(BY7=0,0,(CC30/BY7)*100)</f>
        <v>7.4805194805194803</v>
      </c>
      <c r="CI30" s="206" t="s">
        <v>416</v>
      </c>
      <c r="CQ30" s="191"/>
      <c r="CR30" s="191"/>
      <c r="CS30" s="192">
        <f>$M39</f>
        <v>20.571428571428573</v>
      </c>
      <c r="CT30" s="244">
        <f>IF(CO5=0,0,(CS30/CO5)*100)</f>
        <v>6.8571428571428577</v>
      </c>
      <c r="CU30" s="244">
        <f>IF(CO6=0,0,(CS30/CO6)*100)</f>
        <v>6.8571428571428577</v>
      </c>
      <c r="CV30" s="244">
        <f>IF(CO7=0,0,(CS30/CO7)*100)</f>
        <v>6.8571428571428577</v>
      </c>
      <c r="CY30" s="206" t="s">
        <v>416</v>
      </c>
      <c r="DG30" s="191"/>
      <c r="DH30" s="191"/>
      <c r="DI30" s="192">
        <f>$M39</f>
        <v>20.571428571428573</v>
      </c>
      <c r="DJ30" s="244">
        <f>IF(DE5=0,0,(DI30/DE5)*100)</f>
        <v>6.3296703296703294</v>
      </c>
      <c r="DK30" s="244">
        <f>IF(DE6=0,0,(DI30/DE6)*100)</f>
        <v>6.3296703296703294</v>
      </c>
      <c r="DL30" s="244">
        <f>IF(DE7=0,0,(DI30/DE7)*100)</f>
        <v>6.3296703296703294</v>
      </c>
      <c r="DO30" s="206" t="s">
        <v>416</v>
      </c>
      <c r="DW30" s="191"/>
      <c r="DX30" s="191"/>
      <c r="DY30" s="192">
        <f>$M39</f>
        <v>20.571428571428573</v>
      </c>
      <c r="DZ30" s="244">
        <f>IF(DU5=0,0,(DY30/DU5)*100)</f>
        <v>5.8775510204081636</v>
      </c>
      <c r="EA30" s="244">
        <f>IF(DU6=0,0,(DY30/DU6)*100)</f>
        <v>5.8775510204081636</v>
      </c>
      <c r="EB30" s="244">
        <f>IF(DU7=0,0,(DY30/DU7)*100)</f>
        <v>5.8775510204081636</v>
      </c>
      <c r="EE30" s="206" t="s">
        <v>416</v>
      </c>
      <c r="EM30" s="191"/>
      <c r="EN30" s="191"/>
      <c r="EO30" s="192">
        <f>$M39</f>
        <v>20.571428571428573</v>
      </c>
      <c r="EP30" s="244">
        <f>IF(EK5=0,0,(EO30/EK5)*100)</f>
        <v>5.4857142857142858</v>
      </c>
      <c r="EQ30" s="244">
        <f>IF(EK6=0,0,(EO30/EK6)*100)</f>
        <v>5.4857142857142858</v>
      </c>
      <c r="ER30" s="244">
        <f>IF(EK7=0,0,(EO30/EK7)*100)</f>
        <v>5.4857142857142858</v>
      </c>
      <c r="EU30" s="206" t="s">
        <v>416</v>
      </c>
      <c r="FC30" s="191"/>
      <c r="FD30" s="191"/>
      <c r="FE30" s="192">
        <f>$M39</f>
        <v>20.571428571428573</v>
      </c>
      <c r="FF30" s="244">
        <f>IF(FA5=0,0,(FE30/FA5)*100)</f>
        <v>5.1428571428571432</v>
      </c>
      <c r="FG30" s="244">
        <f>IF(FA6=0,0,(FE30/FA6)*100)</f>
        <v>5.1428571428571432</v>
      </c>
      <c r="FH30" s="244">
        <f>IF(FA7=0,0,(FE30/FA7)*100)</f>
        <v>5.1428571428571432</v>
      </c>
      <c r="FK30" s="206" t="s">
        <v>416</v>
      </c>
      <c r="FS30" s="191"/>
      <c r="FT30" s="191"/>
      <c r="FU30" s="192">
        <f>$M39</f>
        <v>20.571428571428573</v>
      </c>
      <c r="FV30" s="244">
        <f>IF(FQ5=0,0,(FU30/FQ5)*100)</f>
        <v>4.8403361344537821</v>
      </c>
      <c r="FW30" s="244">
        <f>IF(FQ6=0,0,(FU30/FQ6)*100)</f>
        <v>4.8403361344537821</v>
      </c>
      <c r="FX30" s="244">
        <f>IF(FQ7=0,0,(FU30/FQ7)*100)</f>
        <v>4.8403361344537821</v>
      </c>
      <c r="GA30" s="206" t="s">
        <v>416</v>
      </c>
      <c r="GI30" s="191"/>
      <c r="GJ30" s="191"/>
      <c r="GK30" s="192">
        <f>$M39</f>
        <v>20.571428571428573</v>
      </c>
      <c r="GL30" s="244">
        <f>IF(GG5=0,0,(GK30/GG5)*100)</f>
        <v>4.5714285714285712</v>
      </c>
      <c r="GM30" s="244">
        <f>IF(GG6=0,0,(GK30/GG6)*100)</f>
        <v>4.5714285714285712</v>
      </c>
      <c r="GN30" s="244">
        <f>IF(GG7=0,0,(GK30/GG7)*100)</f>
        <v>4.5714285714285712</v>
      </c>
      <c r="GQ30" s="206" t="s">
        <v>416</v>
      </c>
      <c r="GY30" s="191"/>
      <c r="GZ30" s="191"/>
      <c r="HA30" s="192">
        <f>$M39</f>
        <v>20.571428571428573</v>
      </c>
      <c r="HB30" s="244">
        <f>IF(GW5=0,0,(HA30/GW5)*100)</f>
        <v>4.3308270676691736</v>
      </c>
      <c r="HC30" s="244">
        <f>IF(GW6=0,0,(HA30/GW6)*100)</f>
        <v>4.3308270676691736</v>
      </c>
      <c r="HD30" s="244">
        <f>IF(GW7=0,0,(HA30/GW7)*100)</f>
        <v>4.3308270676691736</v>
      </c>
      <c r="HF30" s="172"/>
      <c r="HG30" s="172"/>
      <c r="HH30" s="172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272" customFormat="1" ht="12.75" x14ac:dyDescent="0.2">
      <c r="A31" s="869"/>
      <c r="B31" s="202" t="s">
        <v>417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74"/>
      <c r="M31" s="247">
        <f>IF(Data!E15=0,0,('Infrastructure Detailed'!AU108/Data!E15))</f>
        <v>0</v>
      </c>
      <c r="N31" s="270"/>
      <c r="O31" s="248">
        <f>IF(H6=0,0,(M31/H6))*100</f>
        <v>0</v>
      </c>
      <c r="P31" s="248"/>
      <c r="Q31" s="912"/>
      <c r="R31" s="913"/>
      <c r="S31" s="167"/>
      <c r="T31" s="168"/>
      <c r="U31" s="168"/>
      <c r="V31" s="271" t="s">
        <v>418</v>
      </c>
      <c r="AB31" s="272" t="e">
        <f>SUM((AE42+AF44+AF45+AF46+AF47+AF48+AF49+AF51)+(AG54+AG55+AG56+AF57+AF58+AF59+AF61)*0.6)/(Data!#REF!+1)</f>
        <v>#DIV/0!</v>
      </c>
      <c r="AD31" s="274"/>
      <c r="AE31" s="274"/>
      <c r="AF31" s="280" t="e">
        <f>$M40</f>
        <v>#DIV/0!</v>
      </c>
      <c r="AG31" s="281" t="e">
        <f>IF(AB5=0,0,AF31/AB5)*100</f>
        <v>#DIV/0!</v>
      </c>
      <c r="AH31" s="281" t="e">
        <f>IF(AB6=0,0,AF31/AB6*100)</f>
        <v>#DIV/0!</v>
      </c>
      <c r="AI31" s="281" t="e">
        <f>IF(AB7=0,0,AF31/AB7*100)</f>
        <v>#DIV/0!</v>
      </c>
      <c r="AJ31" s="168"/>
      <c r="AK31" s="168"/>
      <c r="AL31" s="169"/>
      <c r="AM31" s="271" t="s">
        <v>418</v>
      </c>
      <c r="AS31" s="272" t="e">
        <f>SUM((AV42+AW44+AW45+AW46+AW47+AW48+AW49+AW51)+(AX54+AX55+AX56+AW57+AW58+AW59+AW61)*0.6)/(Data!#REF!+1)</f>
        <v>#DIV/0!</v>
      </c>
      <c r="AU31" s="274"/>
      <c r="AV31" s="274"/>
      <c r="AW31" s="280" t="e">
        <f>$M40</f>
        <v>#DIV/0!</v>
      </c>
      <c r="AX31" s="281" t="e">
        <f>IF(AS5=0,0,AW31/AS5)*100</f>
        <v>#DIV/0!</v>
      </c>
      <c r="AY31" s="281" t="e">
        <f>IF(AS6=0,0,AW31/AS6*100)</f>
        <v>#DIV/0!</v>
      </c>
      <c r="AZ31" s="281" t="e">
        <f>IF(AS7=0,0,AW31/AS7*100)</f>
        <v>#DIV/0!</v>
      </c>
      <c r="BA31" s="168"/>
      <c r="BB31" s="168"/>
      <c r="BC31" s="271" t="s">
        <v>418</v>
      </c>
      <c r="BI31" s="272" t="e">
        <f>SUM((BL42+BM44+BM45+BM46+BM47+BM48+BM49+BM51)+(BN54+BN55+BN56+BM57+BM58+BM59+BM61)*0.6)/(Data!#REF!+1)</f>
        <v>#DIV/0!</v>
      </c>
      <c r="BK31" s="274"/>
      <c r="BL31" s="274"/>
      <c r="BM31" s="280" t="e">
        <f>$M40</f>
        <v>#DIV/0!</v>
      </c>
      <c r="BN31" s="281" t="e">
        <f>IF(BI5=0,0,BM31/BI5)*100</f>
        <v>#DIV/0!</v>
      </c>
      <c r="BO31" s="281" t="e">
        <f>IF(BI6=0,0,BM31/BI6*100)</f>
        <v>#DIV/0!</v>
      </c>
      <c r="BP31" s="281" t="e">
        <f>IF(BI7=0,0,BM31/BI7*100)</f>
        <v>#DIV/0!</v>
      </c>
      <c r="BQ31" s="168"/>
      <c r="BR31" s="168"/>
      <c r="BS31" s="271" t="s">
        <v>418</v>
      </c>
      <c r="BY31" s="272" t="e">
        <f>SUM((CB42+CC44+CC45+CC46+CC47+CC48+CC49+CC51)+(CD54+CD55+CD56+CC57+CC58+CC59+CC61)*0.6)/(Data!#REF!+1)</f>
        <v>#DIV/0!</v>
      </c>
      <c r="CA31" s="274"/>
      <c r="CB31" s="274"/>
      <c r="CC31" s="280" t="e">
        <f>$M40</f>
        <v>#DIV/0!</v>
      </c>
      <c r="CD31" s="281" t="e">
        <f>IF(BY5=0,0,CC31/BY5)*100</f>
        <v>#DIV/0!</v>
      </c>
      <c r="CE31" s="281" t="e">
        <f>IF(BY6=0,0,CC31/BY6*100)</f>
        <v>#DIV/0!</v>
      </c>
      <c r="CF31" s="281" t="e">
        <f>IF(BY7=0,0,CC31/BY7*100)</f>
        <v>#DIV/0!</v>
      </c>
      <c r="CG31" s="168"/>
      <c r="CH31" s="168"/>
      <c r="CI31" s="271" t="s">
        <v>418</v>
      </c>
      <c r="CO31" s="272" t="e">
        <f>SUM((CR42+CS44+CS45+CS46+CS47+CS48+CS49+CS51)+(CT54+CT55+CT56+CS57+CS58+CS59+CS61)*0.6)/(Data!#REF!+1)</f>
        <v>#DIV/0!</v>
      </c>
      <c r="CQ31" s="274"/>
      <c r="CR31" s="274"/>
      <c r="CS31" s="280" t="e">
        <f>$M40</f>
        <v>#DIV/0!</v>
      </c>
      <c r="CT31" s="281" t="e">
        <f>IF(CO5=0,0,CS31/CO5)*100</f>
        <v>#DIV/0!</v>
      </c>
      <c r="CU31" s="281" t="e">
        <f>IF(CO6=0,0,CS31/CO6*100)</f>
        <v>#DIV/0!</v>
      </c>
      <c r="CV31" s="281" t="e">
        <f>IF(CO7=0,0,CS31/CO7*100)</f>
        <v>#DIV/0!</v>
      </c>
      <c r="CW31" s="168"/>
      <c r="CX31" s="168"/>
      <c r="CY31" s="271" t="s">
        <v>418</v>
      </c>
      <c r="DE31" s="272" t="e">
        <f>SUM((DH42+DI44+DI45+DI46+DI47+DI48+DI49+DI51)+(DJ54+DJ55+DJ56+DI57+DI58+DI59+DI61)*0.6)/(Data!#REF!+1)</f>
        <v>#DIV/0!</v>
      </c>
      <c r="DG31" s="274"/>
      <c r="DH31" s="274"/>
      <c r="DI31" s="280" t="e">
        <f>$M40</f>
        <v>#DIV/0!</v>
      </c>
      <c r="DJ31" s="281" t="e">
        <f>IF(DE5=0,0,DI31/DE5)*100</f>
        <v>#DIV/0!</v>
      </c>
      <c r="DK31" s="281" t="e">
        <f>IF(DE6=0,0,DI31/DE6*100)</f>
        <v>#DIV/0!</v>
      </c>
      <c r="DL31" s="281" t="e">
        <f>IF(DE7=0,0,DI31/DE7*100)</f>
        <v>#DIV/0!</v>
      </c>
      <c r="DM31" s="168"/>
      <c r="DN31" s="168"/>
      <c r="DO31" s="271" t="s">
        <v>418</v>
      </c>
      <c r="DU31" s="272" t="e">
        <f>SUM((DX42+DY44+DY45+DY46+DY47+DY48+DY49+DY51)+(DZ54+DZ55+DZ56+DY57+DY58+DY59+DY61)*0.6)/(Data!#REF!+1)</f>
        <v>#DIV/0!</v>
      </c>
      <c r="DW31" s="274"/>
      <c r="DX31" s="274"/>
      <c r="DY31" s="280" t="e">
        <f>$M40</f>
        <v>#DIV/0!</v>
      </c>
      <c r="DZ31" s="281" t="e">
        <f>IF(DU5=0,0,DY31/DU5)*100</f>
        <v>#DIV/0!</v>
      </c>
      <c r="EA31" s="281" t="e">
        <f>IF(DU6=0,0,DY31/DU6*100)</f>
        <v>#DIV/0!</v>
      </c>
      <c r="EB31" s="281" t="e">
        <f>IF(DU7=0,0,DY31/DU7*100)</f>
        <v>#DIV/0!</v>
      </c>
      <c r="EC31" s="168"/>
      <c r="ED31" s="168"/>
      <c r="EE31" s="271" t="s">
        <v>418</v>
      </c>
      <c r="EK31" s="272" t="e">
        <f>SUM((EN42+EO44+EO45+EO46+EO47+EO48+EO49+EO51)+(EP54+EP55+EP56+EO57+EO58+EO59+EO61)*0.6)/(Data!#REF!+1)</f>
        <v>#DIV/0!</v>
      </c>
      <c r="EM31" s="274"/>
      <c r="EN31" s="274"/>
      <c r="EO31" s="280" t="e">
        <f>$M40</f>
        <v>#DIV/0!</v>
      </c>
      <c r="EP31" s="281" t="e">
        <f>IF(EK5=0,0,EO31/EK5)*100</f>
        <v>#DIV/0!</v>
      </c>
      <c r="EQ31" s="281" t="e">
        <f>IF(EK6=0,0,EO31/EK6*100)</f>
        <v>#DIV/0!</v>
      </c>
      <c r="ER31" s="281" t="e">
        <f>IF(EK7=0,0,EO31/EK7*100)</f>
        <v>#DIV/0!</v>
      </c>
      <c r="ES31" s="168"/>
      <c r="ET31" s="168"/>
      <c r="EU31" s="271" t="s">
        <v>418</v>
      </c>
      <c r="FA31" s="272" t="e">
        <f>SUM((FD42+FE44+FE45+FE46+FE47+FE48+FE49+FE51)+(FF54+FF55+FF56+FE57+FE58+FE59+FE61)*0.6)/(Data!#REF!+1)</f>
        <v>#DIV/0!</v>
      </c>
      <c r="FC31" s="274"/>
      <c r="FD31" s="274"/>
      <c r="FE31" s="280" t="e">
        <f>$M40</f>
        <v>#DIV/0!</v>
      </c>
      <c r="FF31" s="281" t="e">
        <f>IF(FA5=0,0,FE31/FA5)*100</f>
        <v>#DIV/0!</v>
      </c>
      <c r="FG31" s="281" t="e">
        <f>IF(FA6=0,0,FE31/FA6*100)</f>
        <v>#DIV/0!</v>
      </c>
      <c r="FH31" s="281" t="e">
        <f>IF(FA7=0,0,FE31/FA7*100)</f>
        <v>#DIV/0!</v>
      </c>
      <c r="FI31" s="168"/>
      <c r="FJ31" s="168"/>
      <c r="FK31" s="271" t="s">
        <v>418</v>
      </c>
      <c r="FQ31" s="272" t="e">
        <f>SUM((FT42+FU44+FU45+FU46+FU47+FU48+FU49+FU51)+(FV54+FV55+FV56+FU57+FU58+FU59+FU61)*0.6)/(Data!#REF!+1)</f>
        <v>#DIV/0!</v>
      </c>
      <c r="FS31" s="274"/>
      <c r="FT31" s="274"/>
      <c r="FU31" s="280" t="e">
        <f>$M40</f>
        <v>#DIV/0!</v>
      </c>
      <c r="FV31" s="281" t="e">
        <f>IF(FQ5=0,0,FU31/FQ5)*100</f>
        <v>#DIV/0!</v>
      </c>
      <c r="FW31" s="281" t="e">
        <f>IF(FQ6=0,0,FU31/FQ6*100)</f>
        <v>#DIV/0!</v>
      </c>
      <c r="FX31" s="281" t="e">
        <f>IF(FQ7=0,0,FU31/FQ7*100)</f>
        <v>#DIV/0!</v>
      </c>
      <c r="FY31" s="168"/>
      <c r="FZ31" s="168"/>
      <c r="GA31" s="271" t="s">
        <v>418</v>
      </c>
      <c r="GG31" s="272" t="e">
        <f>SUM((GJ42+GK44+GK45+GK46+GK47+GK48+GK49+GK51)+(GL54+GL55+GL56+GK57+GK58+GK59+GK61)*0.6)/(Data!#REF!+1)</f>
        <v>#DIV/0!</v>
      </c>
      <c r="GI31" s="274"/>
      <c r="GJ31" s="274"/>
      <c r="GK31" s="280" t="e">
        <f>$M40</f>
        <v>#DIV/0!</v>
      </c>
      <c r="GL31" s="281" t="e">
        <f>IF(GG5=0,0,GK31/GG5)*100</f>
        <v>#DIV/0!</v>
      </c>
      <c r="GM31" s="281" t="e">
        <f>IF(GG6=0,0,GK31/GG6*100)</f>
        <v>#DIV/0!</v>
      </c>
      <c r="GN31" s="281" t="e">
        <f>IF(GG7=0,0,GK31/GG7*100)</f>
        <v>#DIV/0!</v>
      </c>
      <c r="GO31" s="168"/>
      <c r="GP31" s="168"/>
      <c r="GQ31" s="271" t="s">
        <v>418</v>
      </c>
      <c r="GW31" s="272" t="e">
        <f>SUM((GZ42+HA44+HA45+HA46+HA47+HA48+HA49+HA51)+(HB54+HB55+HB56+HA57+HA58+HA59+HA61)*0.6)/(Data!#REF!+1)</f>
        <v>#DIV/0!</v>
      </c>
      <c r="GY31" s="274"/>
      <c r="GZ31" s="274"/>
      <c r="HA31" s="280" t="e">
        <f>$M40</f>
        <v>#DIV/0!</v>
      </c>
      <c r="HB31" s="281" t="e">
        <f>IF(GW5=0,0,HA31/GW5)*100</f>
        <v>#DIV/0!</v>
      </c>
      <c r="HC31" s="281" t="e">
        <f>IF(GW6=0,0,HA31/GW6*100)</f>
        <v>#DIV/0!</v>
      </c>
      <c r="HD31" s="281" t="e">
        <f>IF(GW7=0,0,HA31/GW7*100)</f>
        <v>#DIV/0!</v>
      </c>
      <c r="HE31" s="168"/>
      <c r="HF31" s="172"/>
      <c r="HG31" s="172"/>
      <c r="HH31" s="172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87" customFormat="1" ht="12.75" x14ac:dyDescent="0.2">
      <c r="A32" s="869"/>
      <c r="B32" s="257" t="s">
        <v>419</v>
      </c>
      <c r="C32" s="258"/>
      <c r="D32" s="258"/>
      <c r="E32" s="258"/>
      <c r="F32" s="258"/>
      <c r="G32" s="258"/>
      <c r="H32" s="258"/>
      <c r="I32" s="258"/>
      <c r="J32" s="258"/>
      <c r="K32" s="258"/>
      <c r="L32" s="251"/>
      <c r="M32" s="261">
        <f>IF(Data!E17=0,0,('Infrastructure Detailed'!BE108/Data!E17))</f>
        <v>0</v>
      </c>
      <c r="N32" s="270"/>
      <c r="O32" s="248">
        <f>IF(H6=0,0,(M32/H6)*100)</f>
        <v>0</v>
      </c>
      <c r="P32" s="248"/>
      <c r="Q32" s="912"/>
      <c r="R32" s="913"/>
      <c r="S32" s="167"/>
      <c r="T32" s="168"/>
      <c r="U32" s="168"/>
      <c r="V32" s="276" t="s">
        <v>90</v>
      </c>
      <c r="AD32" s="277"/>
      <c r="AE32" s="277"/>
      <c r="AF32" s="278"/>
      <c r="AG32" s="279"/>
      <c r="AH32" s="279"/>
      <c r="AI32" s="279"/>
      <c r="AJ32" s="168"/>
      <c r="AK32" s="168"/>
      <c r="AL32" s="169"/>
      <c r="AM32" s="276" t="s">
        <v>90</v>
      </c>
      <c r="AU32" s="277"/>
      <c r="AV32" s="277"/>
      <c r="AW32" s="278"/>
      <c r="AX32" s="279"/>
      <c r="AY32" s="279"/>
      <c r="AZ32" s="279"/>
      <c r="BA32" s="168"/>
      <c r="BB32" s="168"/>
      <c r="BC32" s="276" t="s">
        <v>90</v>
      </c>
      <c r="BK32" s="277"/>
      <c r="BL32" s="277"/>
      <c r="BM32" s="278"/>
      <c r="BN32" s="279"/>
      <c r="BO32" s="279"/>
      <c r="BP32" s="279"/>
      <c r="BQ32" s="168"/>
      <c r="BR32" s="168"/>
      <c r="BS32" s="276" t="s">
        <v>90</v>
      </c>
      <c r="CA32" s="277"/>
      <c r="CB32" s="277"/>
      <c r="CC32" s="278"/>
      <c r="CD32" s="279"/>
      <c r="CE32" s="279"/>
      <c r="CF32" s="279"/>
      <c r="CG32" s="168"/>
      <c r="CH32" s="168"/>
      <c r="CI32" s="276" t="s">
        <v>90</v>
      </c>
      <c r="CQ32" s="277"/>
      <c r="CR32" s="277"/>
      <c r="CS32" s="278"/>
      <c r="CT32" s="279"/>
      <c r="CU32" s="279"/>
      <c r="CV32" s="279"/>
      <c r="CW32" s="168"/>
      <c r="CX32" s="168"/>
      <c r="CY32" s="276" t="s">
        <v>90</v>
      </c>
      <c r="DG32" s="277"/>
      <c r="DH32" s="277"/>
      <c r="DI32" s="278"/>
      <c r="DJ32" s="279"/>
      <c r="DK32" s="279"/>
      <c r="DL32" s="279"/>
      <c r="DM32" s="168"/>
      <c r="DN32" s="168"/>
      <c r="DO32" s="276" t="s">
        <v>90</v>
      </c>
      <c r="DW32" s="277"/>
      <c r="DX32" s="277"/>
      <c r="DY32" s="278"/>
      <c r="DZ32" s="279"/>
      <c r="EA32" s="279"/>
      <c r="EB32" s="279"/>
      <c r="EC32" s="168"/>
      <c r="ED32" s="168"/>
      <c r="EE32" s="276" t="s">
        <v>90</v>
      </c>
      <c r="EM32" s="277"/>
      <c r="EN32" s="277"/>
      <c r="EO32" s="278"/>
      <c r="EP32" s="279"/>
      <c r="EQ32" s="279"/>
      <c r="ER32" s="279"/>
      <c r="ES32" s="168"/>
      <c r="ET32" s="168"/>
      <c r="EU32" s="276" t="s">
        <v>90</v>
      </c>
      <c r="FC32" s="277"/>
      <c r="FD32" s="277"/>
      <c r="FE32" s="278"/>
      <c r="FF32" s="279"/>
      <c r="FG32" s="279"/>
      <c r="FH32" s="279"/>
      <c r="FI32" s="168"/>
      <c r="FJ32" s="168"/>
      <c r="FK32" s="276" t="s">
        <v>90</v>
      </c>
      <c r="FS32" s="277"/>
      <c r="FT32" s="277"/>
      <c r="FU32" s="278"/>
      <c r="FV32" s="279"/>
      <c r="FW32" s="279"/>
      <c r="FX32" s="279"/>
      <c r="FY32" s="168"/>
      <c r="FZ32" s="168"/>
      <c r="GA32" s="276" t="s">
        <v>90</v>
      </c>
      <c r="GI32" s="277"/>
      <c r="GJ32" s="277"/>
      <c r="GK32" s="278"/>
      <c r="GL32" s="279"/>
      <c r="GM32" s="279"/>
      <c r="GN32" s="279"/>
      <c r="GO32" s="168"/>
      <c r="GP32" s="168"/>
      <c r="GQ32" s="276" t="s">
        <v>90</v>
      </c>
      <c r="GY32" s="277"/>
      <c r="GZ32" s="277"/>
      <c r="HA32" s="278"/>
      <c r="HB32" s="279"/>
      <c r="HC32" s="279"/>
      <c r="HD32" s="279"/>
      <c r="HE32" s="168"/>
      <c r="HF32" s="172"/>
      <c r="HG32" s="172"/>
      <c r="HH32" s="17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68" customFormat="1" ht="12.75" x14ac:dyDescent="0.2">
      <c r="A33" s="869"/>
      <c r="B33" s="263" t="s">
        <v>408</v>
      </c>
      <c r="C33" s="264"/>
      <c r="D33" s="264">
        <f>SUM(D24:D26)</f>
        <v>80</v>
      </c>
      <c r="E33" s="258"/>
      <c r="F33" s="258"/>
      <c r="G33" s="258"/>
      <c r="H33" s="258"/>
      <c r="I33" s="258"/>
      <c r="J33" s="259"/>
      <c r="K33" s="259"/>
      <c r="L33" s="251"/>
      <c r="M33" s="261"/>
      <c r="N33" s="270"/>
      <c r="O33" s="248"/>
      <c r="P33" s="248"/>
      <c r="Q33" s="912"/>
      <c r="R33" s="913"/>
      <c r="S33" s="167"/>
      <c r="V33" s="206">
        <f>Data!S85</f>
        <v>0</v>
      </c>
      <c r="AD33" s="191"/>
      <c r="AE33" s="191"/>
      <c r="AF33" s="192">
        <f t="shared" ref="AF33:AF41" si="12">$M42</f>
        <v>53.5</v>
      </c>
      <c r="AG33" s="244"/>
      <c r="AH33" s="244"/>
      <c r="AI33" s="244"/>
      <c r="AL33" s="169"/>
      <c r="AM33" s="206">
        <f>Data!AJ85</f>
        <v>0</v>
      </c>
      <c r="AU33" s="191"/>
      <c r="AV33" s="191"/>
      <c r="AW33" s="192">
        <f t="shared" ref="AW33:AW41" si="13">$M42</f>
        <v>53.5</v>
      </c>
      <c r="AX33" s="244"/>
      <c r="AY33" s="244"/>
      <c r="AZ33" s="244"/>
      <c r="BC33" s="206">
        <f>Data!AZ85</f>
        <v>0</v>
      </c>
      <c r="BK33" s="191"/>
      <c r="BL33" s="191"/>
      <c r="BM33" s="192">
        <f t="shared" ref="BM33:BM41" si="14">$M42</f>
        <v>53.5</v>
      </c>
      <c r="BN33" s="244"/>
      <c r="BO33" s="244"/>
      <c r="BP33" s="244"/>
      <c r="BS33" s="206">
        <f>Data!BP85</f>
        <v>0</v>
      </c>
      <c r="CA33" s="191"/>
      <c r="CB33" s="191"/>
      <c r="CC33" s="192">
        <f t="shared" ref="CC33:CC41" si="15">$M42</f>
        <v>53.5</v>
      </c>
      <c r="CD33" s="244"/>
      <c r="CE33" s="244"/>
      <c r="CF33" s="244"/>
      <c r="CI33" s="206">
        <f>Data!CF85</f>
        <v>0</v>
      </c>
      <c r="CQ33" s="191"/>
      <c r="CR33" s="191"/>
      <c r="CS33" s="192">
        <f t="shared" ref="CS33:CS41" si="16">$M42</f>
        <v>53.5</v>
      </c>
      <c r="CT33" s="244"/>
      <c r="CU33" s="244"/>
      <c r="CV33" s="244"/>
      <c r="CY33" s="206">
        <f>Data!CV85</f>
        <v>0</v>
      </c>
      <c r="DG33" s="191"/>
      <c r="DH33" s="191"/>
      <c r="DI33" s="192">
        <f t="shared" ref="DI33:DI41" si="17">$M42</f>
        <v>53.5</v>
      </c>
      <c r="DJ33" s="244"/>
      <c r="DK33" s="244"/>
      <c r="DL33" s="244"/>
      <c r="DO33" s="206">
        <f>Data!DL85</f>
        <v>0</v>
      </c>
      <c r="DW33" s="191"/>
      <c r="DX33" s="191"/>
      <c r="DY33" s="192">
        <f t="shared" ref="DY33:DY41" si="18">$M42</f>
        <v>53.5</v>
      </c>
      <c r="DZ33" s="244"/>
      <c r="EA33" s="244"/>
      <c r="EB33" s="244"/>
      <c r="EE33" s="206">
        <f>Data!EB85</f>
        <v>0</v>
      </c>
      <c r="EM33" s="191"/>
      <c r="EN33" s="191"/>
      <c r="EO33" s="192">
        <f t="shared" ref="EO33:EO41" si="19">$M42</f>
        <v>53.5</v>
      </c>
      <c r="EP33" s="244"/>
      <c r="EQ33" s="244"/>
      <c r="ER33" s="244"/>
      <c r="EU33" s="206">
        <f>Data!ER85</f>
        <v>0</v>
      </c>
      <c r="FC33" s="191"/>
      <c r="FD33" s="191"/>
      <c r="FE33" s="192">
        <f t="shared" ref="FE33:FE41" si="20">$M42</f>
        <v>53.5</v>
      </c>
      <c r="FF33" s="244"/>
      <c r="FG33" s="244"/>
      <c r="FH33" s="244"/>
      <c r="FK33" s="206">
        <f>Data!FH85</f>
        <v>0</v>
      </c>
      <c r="FS33" s="191"/>
      <c r="FT33" s="191"/>
      <c r="FU33" s="192">
        <f t="shared" ref="FU33:FU41" si="21">$M42</f>
        <v>53.5</v>
      </c>
      <c r="FV33" s="244"/>
      <c r="FW33" s="244"/>
      <c r="FX33" s="244"/>
      <c r="GA33" s="206">
        <f>Data!FX85</f>
        <v>0</v>
      </c>
      <c r="GI33" s="191"/>
      <c r="GJ33" s="191"/>
      <c r="GK33" s="192">
        <f t="shared" ref="GK33:GK41" si="22">$M42</f>
        <v>53.5</v>
      </c>
      <c r="GL33" s="244"/>
      <c r="GM33" s="244"/>
      <c r="GN33" s="244"/>
      <c r="GQ33" s="206">
        <f>Data!GN85</f>
        <v>0</v>
      </c>
      <c r="GY33" s="191"/>
      <c r="GZ33" s="191"/>
      <c r="HA33" s="192">
        <f t="shared" ref="HA33:HA41" si="23">$M42</f>
        <v>53.5</v>
      </c>
      <c r="HB33" s="244"/>
      <c r="HC33" s="244"/>
      <c r="HD33" s="244"/>
      <c r="HF33" s="172"/>
      <c r="HG33" s="172"/>
      <c r="HH33" s="172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2.75" x14ac:dyDescent="0.2">
      <c r="B34" s="195" t="s">
        <v>409</v>
      </c>
      <c r="C34" s="282"/>
      <c r="D34" s="282">
        <f>D23+D33</f>
        <v>160</v>
      </c>
      <c r="H34" s="225">
        <f>Data!H44</f>
        <v>1080</v>
      </c>
      <c r="I34" s="162" t="s">
        <v>410</v>
      </c>
      <c r="J34" s="183"/>
      <c r="K34" s="183"/>
      <c r="M34" s="247"/>
      <c r="N34" s="248"/>
      <c r="O34" s="248"/>
      <c r="P34" s="248"/>
      <c r="R34" s="913"/>
      <c r="V34" s="206">
        <f>Data!S86</f>
        <v>0</v>
      </c>
      <c r="AF34" s="192">
        <f t="shared" si="12"/>
        <v>149</v>
      </c>
      <c r="AG34" s="244"/>
      <c r="AH34" s="244"/>
      <c r="AI34" s="244"/>
      <c r="AM34" s="206">
        <f>Data!AJ86</f>
        <v>0</v>
      </c>
      <c r="AW34" s="192">
        <f t="shared" si="13"/>
        <v>149</v>
      </c>
      <c r="AX34" s="244"/>
      <c r="AY34" s="244"/>
      <c r="AZ34" s="244"/>
      <c r="BC34" s="206">
        <f>Data!AZ86</f>
        <v>0</v>
      </c>
      <c r="BM34" s="192">
        <f t="shared" si="14"/>
        <v>149</v>
      </c>
      <c r="BN34" s="244"/>
      <c r="BO34" s="244"/>
      <c r="BP34" s="244"/>
      <c r="BS34" s="206">
        <f>Data!BP86</f>
        <v>0</v>
      </c>
      <c r="CC34" s="192">
        <f t="shared" si="15"/>
        <v>149</v>
      </c>
      <c r="CD34" s="244"/>
      <c r="CE34" s="244"/>
      <c r="CF34" s="244"/>
      <c r="CI34" s="206">
        <f>Data!CF86</f>
        <v>0</v>
      </c>
      <c r="CS34" s="192">
        <f t="shared" si="16"/>
        <v>149</v>
      </c>
      <c r="CT34" s="244"/>
      <c r="CU34" s="244"/>
      <c r="CV34" s="244"/>
      <c r="CY34" s="206">
        <f>Data!CV86</f>
        <v>0</v>
      </c>
      <c r="DI34" s="192">
        <f t="shared" si="17"/>
        <v>149</v>
      </c>
      <c r="DJ34" s="244"/>
      <c r="DK34" s="244"/>
      <c r="DL34" s="244"/>
      <c r="DO34" s="206">
        <f>Data!DL86</f>
        <v>0</v>
      </c>
      <c r="DY34" s="192">
        <f t="shared" si="18"/>
        <v>149</v>
      </c>
      <c r="DZ34" s="244"/>
      <c r="EA34" s="244"/>
      <c r="EB34" s="244"/>
      <c r="EE34" s="206">
        <f>Data!EB86</f>
        <v>0</v>
      </c>
      <c r="EO34" s="192">
        <f t="shared" si="19"/>
        <v>149</v>
      </c>
      <c r="EP34" s="244"/>
      <c r="EQ34" s="244"/>
      <c r="ER34" s="244"/>
      <c r="EU34" s="206">
        <f>Data!ER86</f>
        <v>0</v>
      </c>
      <c r="FE34" s="192">
        <f t="shared" si="20"/>
        <v>149</v>
      </c>
      <c r="FF34" s="244"/>
      <c r="FG34" s="244"/>
      <c r="FH34" s="244"/>
      <c r="FK34" s="206">
        <f>Data!FH86</f>
        <v>0</v>
      </c>
      <c r="FU34" s="192">
        <f t="shared" si="21"/>
        <v>149</v>
      </c>
      <c r="FV34" s="244"/>
      <c r="FW34" s="244"/>
      <c r="FX34" s="244"/>
      <c r="GA34" s="206">
        <f>Data!FX86</f>
        <v>0</v>
      </c>
      <c r="GK34" s="192">
        <f t="shared" si="22"/>
        <v>149</v>
      </c>
      <c r="GL34" s="244"/>
      <c r="GM34" s="244"/>
      <c r="GN34" s="244"/>
      <c r="GQ34" s="206">
        <f>Data!GN86</f>
        <v>0</v>
      </c>
      <c r="HA34" s="192">
        <f t="shared" si="23"/>
        <v>149</v>
      </c>
      <c r="HB34" s="244"/>
      <c r="HC34" s="244"/>
      <c r="HD34" s="244"/>
      <c r="HF34" s="172"/>
      <c r="HG34" s="172"/>
      <c r="HH34" s="172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2.75" x14ac:dyDescent="0.2">
      <c r="B35" s="202" t="s">
        <v>380</v>
      </c>
      <c r="D35" s="282">
        <f>Data!E20</f>
        <v>0</v>
      </c>
      <c r="H35" s="283"/>
      <c r="J35" s="183"/>
      <c r="K35" s="183"/>
      <c r="M35" s="284"/>
      <c r="N35" s="248"/>
      <c r="O35" s="248"/>
      <c r="P35" s="248"/>
      <c r="R35" s="913"/>
      <c r="V35" s="206">
        <f>Data!S87</f>
        <v>0</v>
      </c>
      <c r="AF35" s="192">
        <f t="shared" si="12"/>
        <v>0</v>
      </c>
      <c r="AG35" s="244"/>
      <c r="AH35" s="244"/>
      <c r="AI35" s="244"/>
      <c r="AM35" s="206">
        <f>Data!AJ87</f>
        <v>0</v>
      </c>
      <c r="AW35" s="192">
        <f t="shared" si="13"/>
        <v>0</v>
      </c>
      <c r="AX35" s="244"/>
      <c r="AY35" s="244"/>
      <c r="AZ35" s="244"/>
      <c r="BC35" s="206">
        <f>Data!AZ87</f>
        <v>0</v>
      </c>
      <c r="BM35" s="192">
        <f t="shared" si="14"/>
        <v>0</v>
      </c>
      <c r="BN35" s="244"/>
      <c r="BO35" s="244"/>
      <c r="BP35" s="244"/>
      <c r="BS35" s="206">
        <f>Data!BP87</f>
        <v>0</v>
      </c>
      <c r="CC35" s="192">
        <f t="shared" si="15"/>
        <v>0</v>
      </c>
      <c r="CD35" s="244"/>
      <c r="CE35" s="244"/>
      <c r="CF35" s="244"/>
      <c r="CI35" s="206">
        <f>Data!CF87</f>
        <v>0</v>
      </c>
      <c r="CS35" s="192">
        <f t="shared" si="16"/>
        <v>0</v>
      </c>
      <c r="CT35" s="244"/>
      <c r="CU35" s="244"/>
      <c r="CV35" s="244"/>
      <c r="CY35" s="206">
        <f>Data!CV87</f>
        <v>0</v>
      </c>
      <c r="DI35" s="192">
        <f t="shared" si="17"/>
        <v>0</v>
      </c>
      <c r="DJ35" s="244"/>
      <c r="DK35" s="244"/>
      <c r="DL35" s="244"/>
      <c r="DO35" s="206">
        <f>Data!DL87</f>
        <v>0</v>
      </c>
      <c r="DY35" s="192">
        <f t="shared" si="18"/>
        <v>0</v>
      </c>
      <c r="DZ35" s="244"/>
      <c r="EA35" s="244"/>
      <c r="EB35" s="244"/>
      <c r="EE35" s="206">
        <f>Data!EB87</f>
        <v>0</v>
      </c>
      <c r="EO35" s="192">
        <f t="shared" si="19"/>
        <v>0</v>
      </c>
      <c r="EP35" s="244"/>
      <c r="EQ35" s="244"/>
      <c r="ER35" s="244"/>
      <c r="EU35" s="206">
        <f>Data!ER87</f>
        <v>0</v>
      </c>
      <c r="FE35" s="192">
        <f t="shared" si="20"/>
        <v>0</v>
      </c>
      <c r="FF35" s="244"/>
      <c r="FG35" s="244"/>
      <c r="FH35" s="244"/>
      <c r="FK35" s="206">
        <f>Data!FH87</f>
        <v>0</v>
      </c>
      <c r="FU35" s="192">
        <f t="shared" si="21"/>
        <v>0</v>
      </c>
      <c r="FV35" s="244"/>
      <c r="FW35" s="244"/>
      <c r="FX35" s="244"/>
      <c r="GA35" s="206">
        <f>Data!FX87</f>
        <v>0</v>
      </c>
      <c r="GK35" s="192">
        <f t="shared" si="22"/>
        <v>0</v>
      </c>
      <c r="GL35" s="244"/>
      <c r="GM35" s="244"/>
      <c r="GN35" s="244"/>
      <c r="GQ35" s="206">
        <f>Data!GN87</f>
        <v>0</v>
      </c>
      <c r="HA35" s="192">
        <f t="shared" si="23"/>
        <v>0</v>
      </c>
      <c r="HB35" s="244"/>
      <c r="HC35" s="244"/>
      <c r="HD35" s="244"/>
      <c r="HF35" s="172"/>
      <c r="HG35" s="172"/>
      <c r="HH35" s="172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2.75" x14ac:dyDescent="0.2">
      <c r="B36" s="195" t="s">
        <v>411</v>
      </c>
      <c r="C36" s="282"/>
      <c r="D36" s="282">
        <f>SUM(D34:D35)</f>
        <v>160</v>
      </c>
      <c r="J36" s="183"/>
      <c r="K36" s="183"/>
      <c r="M36" s="284"/>
      <c r="N36" s="248"/>
      <c r="O36" s="248"/>
      <c r="P36" s="248"/>
      <c r="R36" s="913"/>
      <c r="V36" s="206">
        <f>Data!S88</f>
        <v>0</v>
      </c>
      <c r="AF36" s="192">
        <f t="shared" si="12"/>
        <v>0</v>
      </c>
      <c r="AG36" s="244"/>
      <c r="AH36" s="244"/>
      <c r="AI36" s="244"/>
      <c r="AM36" s="206">
        <f>Data!AJ88</f>
        <v>0</v>
      </c>
      <c r="AW36" s="192">
        <f t="shared" si="13"/>
        <v>0</v>
      </c>
      <c r="AX36" s="244"/>
      <c r="AY36" s="244"/>
      <c r="AZ36" s="244"/>
      <c r="BC36" s="206">
        <f>Data!AZ88</f>
        <v>0</v>
      </c>
      <c r="BM36" s="192">
        <f t="shared" si="14"/>
        <v>0</v>
      </c>
      <c r="BN36" s="244"/>
      <c r="BO36" s="244"/>
      <c r="BP36" s="244"/>
      <c r="BS36" s="206">
        <f>Data!BP88</f>
        <v>0</v>
      </c>
      <c r="CC36" s="192">
        <f t="shared" si="15"/>
        <v>0</v>
      </c>
      <c r="CD36" s="244"/>
      <c r="CE36" s="244"/>
      <c r="CF36" s="244"/>
      <c r="CI36" s="206">
        <f>Data!CF88</f>
        <v>0</v>
      </c>
      <c r="CS36" s="192">
        <f t="shared" si="16"/>
        <v>0</v>
      </c>
      <c r="CT36" s="244"/>
      <c r="CU36" s="244"/>
      <c r="CV36" s="244"/>
      <c r="CY36" s="206">
        <f>Data!CV88</f>
        <v>0</v>
      </c>
      <c r="DI36" s="192">
        <f t="shared" si="17"/>
        <v>0</v>
      </c>
      <c r="DJ36" s="244"/>
      <c r="DK36" s="244"/>
      <c r="DL36" s="244"/>
      <c r="DO36" s="206">
        <f>Data!DL88</f>
        <v>0</v>
      </c>
      <c r="DY36" s="192">
        <f t="shared" si="18"/>
        <v>0</v>
      </c>
      <c r="DZ36" s="244"/>
      <c r="EA36" s="244"/>
      <c r="EB36" s="244"/>
      <c r="EE36" s="206">
        <f>Data!EB88</f>
        <v>0</v>
      </c>
      <c r="EO36" s="192">
        <f t="shared" si="19"/>
        <v>0</v>
      </c>
      <c r="EP36" s="244"/>
      <c r="EQ36" s="244"/>
      <c r="ER36" s="244"/>
      <c r="EU36" s="206">
        <f>Data!ER88</f>
        <v>0</v>
      </c>
      <c r="FE36" s="192">
        <f t="shared" si="20"/>
        <v>0</v>
      </c>
      <c r="FF36" s="244"/>
      <c r="FG36" s="244"/>
      <c r="FH36" s="244"/>
      <c r="FK36" s="206">
        <f>Data!FH88</f>
        <v>0</v>
      </c>
      <c r="FU36" s="192">
        <f t="shared" si="21"/>
        <v>0</v>
      </c>
      <c r="FV36" s="244"/>
      <c r="FW36" s="244"/>
      <c r="FX36" s="244"/>
      <c r="GA36" s="206">
        <f>Data!FX88</f>
        <v>0</v>
      </c>
      <c r="GK36" s="192">
        <f t="shared" si="22"/>
        <v>0</v>
      </c>
      <c r="GL36" s="244"/>
      <c r="GM36" s="244"/>
      <c r="GN36" s="244"/>
      <c r="GQ36" s="206">
        <f>Data!GN88</f>
        <v>0</v>
      </c>
      <c r="HA36" s="192">
        <f t="shared" si="23"/>
        <v>0</v>
      </c>
      <c r="HB36" s="244"/>
      <c r="HC36" s="244"/>
      <c r="HD36" s="244"/>
      <c r="HF36" s="172"/>
      <c r="HG36" s="172"/>
      <c r="HH36" s="172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2.75" x14ac:dyDescent="0.2">
      <c r="B37" s="257"/>
      <c r="C37" s="258"/>
      <c r="D37" s="258"/>
      <c r="E37" s="258"/>
      <c r="F37" s="285"/>
      <c r="G37" s="258"/>
      <c r="H37" s="258"/>
      <c r="I37" s="258"/>
      <c r="J37" s="259"/>
      <c r="K37" s="259"/>
      <c r="M37" s="286"/>
      <c r="N37" s="248"/>
      <c r="O37" s="248"/>
      <c r="P37" s="248"/>
      <c r="R37" s="913"/>
      <c r="V37" s="206">
        <f>Data!S90</f>
        <v>0</v>
      </c>
      <c r="AF37" s="192">
        <f t="shared" si="12"/>
        <v>16.5</v>
      </c>
      <c r="AG37" s="244"/>
      <c r="AH37" s="244"/>
      <c r="AI37" s="244"/>
      <c r="AM37" s="206">
        <f>Data!AJ90</f>
        <v>0</v>
      </c>
      <c r="AW37" s="192">
        <f t="shared" si="13"/>
        <v>16.5</v>
      </c>
      <c r="AX37" s="244"/>
      <c r="AY37" s="244"/>
      <c r="AZ37" s="244"/>
      <c r="BC37" s="206">
        <f>Data!AZ90</f>
        <v>0</v>
      </c>
      <c r="BM37" s="192">
        <f t="shared" si="14"/>
        <v>16.5</v>
      </c>
      <c r="BN37" s="244"/>
      <c r="BO37" s="244"/>
      <c r="BP37" s="244"/>
      <c r="BS37" s="206">
        <f>Data!BP90</f>
        <v>0</v>
      </c>
      <c r="CC37" s="192">
        <f t="shared" si="15"/>
        <v>16.5</v>
      </c>
      <c r="CD37" s="244"/>
      <c r="CE37" s="244"/>
      <c r="CF37" s="244"/>
      <c r="CI37" s="206">
        <f>Data!CF90</f>
        <v>0</v>
      </c>
      <c r="CS37" s="192">
        <f t="shared" si="16"/>
        <v>16.5</v>
      </c>
      <c r="CT37" s="244"/>
      <c r="CU37" s="244"/>
      <c r="CV37" s="244"/>
      <c r="CY37" s="206">
        <f>Data!CV90</f>
        <v>0</v>
      </c>
      <c r="DI37" s="192">
        <f t="shared" si="17"/>
        <v>16.5</v>
      </c>
      <c r="DJ37" s="244"/>
      <c r="DK37" s="244"/>
      <c r="DL37" s="244"/>
      <c r="DO37" s="206">
        <f>Data!DL90</f>
        <v>0</v>
      </c>
      <c r="DY37" s="192">
        <f t="shared" si="18"/>
        <v>16.5</v>
      </c>
      <c r="DZ37" s="244"/>
      <c r="EA37" s="244"/>
      <c r="EB37" s="244"/>
      <c r="EE37" s="206">
        <f>Data!EB90</f>
        <v>0</v>
      </c>
      <c r="EO37" s="192">
        <f t="shared" si="19"/>
        <v>16.5</v>
      </c>
      <c r="EP37" s="244"/>
      <c r="EQ37" s="244"/>
      <c r="ER37" s="244"/>
      <c r="EU37" s="206">
        <f>Data!ER90</f>
        <v>0</v>
      </c>
      <c r="FE37" s="192">
        <f t="shared" si="20"/>
        <v>16.5</v>
      </c>
      <c r="FF37" s="244"/>
      <c r="FG37" s="244"/>
      <c r="FH37" s="244"/>
      <c r="FK37" s="206">
        <f>Data!FH90</f>
        <v>0</v>
      </c>
      <c r="FU37" s="192">
        <f t="shared" si="21"/>
        <v>16.5</v>
      </c>
      <c r="FV37" s="244"/>
      <c r="FW37" s="244"/>
      <c r="FX37" s="244"/>
      <c r="GA37" s="206">
        <f>Data!FX90</f>
        <v>0</v>
      </c>
      <c r="GK37" s="192">
        <f t="shared" si="22"/>
        <v>16.5</v>
      </c>
      <c r="GL37" s="244"/>
      <c r="GM37" s="244"/>
      <c r="GN37" s="244"/>
      <c r="GQ37" s="206">
        <f>Data!GN90</f>
        <v>0</v>
      </c>
      <c r="HA37" s="192">
        <f t="shared" si="23"/>
        <v>16.5</v>
      </c>
      <c r="HB37" s="244"/>
      <c r="HC37" s="244"/>
      <c r="HD37" s="244"/>
      <c r="HF37" s="172"/>
      <c r="HG37" s="172"/>
      <c r="HH37" s="172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2.75" x14ac:dyDescent="0.2">
      <c r="B38" s="287" t="s">
        <v>414</v>
      </c>
      <c r="C38" s="179"/>
      <c r="D38" s="179"/>
      <c r="E38" s="179"/>
      <c r="F38" s="179"/>
      <c r="G38" s="179"/>
      <c r="H38" s="179"/>
      <c r="I38" s="179"/>
      <c r="J38" s="288"/>
      <c r="K38" s="288"/>
      <c r="L38" s="174"/>
      <c r="M38" s="289"/>
      <c r="N38" s="290"/>
      <c r="O38" s="290"/>
      <c r="P38" s="290"/>
      <c r="R38" s="913"/>
      <c r="V38" s="206">
        <f>Data!S91</f>
        <v>0</v>
      </c>
      <c r="AF38" s="192">
        <f t="shared" si="12"/>
        <v>3.7600000000000002</v>
      </c>
      <c r="AG38" s="244"/>
      <c r="AH38" s="244"/>
      <c r="AI38" s="244"/>
      <c r="AM38" s="206">
        <f>Data!AJ91</f>
        <v>0</v>
      </c>
      <c r="AW38" s="192">
        <f t="shared" si="13"/>
        <v>3.7600000000000002</v>
      </c>
      <c r="AX38" s="244"/>
      <c r="AY38" s="244"/>
      <c r="AZ38" s="244"/>
      <c r="BC38" s="206">
        <f>Data!AZ91</f>
        <v>0</v>
      </c>
      <c r="BM38" s="192">
        <f t="shared" si="14"/>
        <v>3.7600000000000002</v>
      </c>
      <c r="BN38" s="244"/>
      <c r="BO38" s="244"/>
      <c r="BP38" s="244"/>
      <c r="BS38" s="206">
        <f>Data!BP91</f>
        <v>0</v>
      </c>
      <c r="CC38" s="192">
        <f t="shared" si="15"/>
        <v>3.7600000000000002</v>
      </c>
      <c r="CD38" s="244"/>
      <c r="CE38" s="244"/>
      <c r="CF38" s="244"/>
      <c r="CI38" s="206">
        <f>Data!CF91</f>
        <v>0</v>
      </c>
      <c r="CS38" s="192">
        <f t="shared" si="16"/>
        <v>3.7600000000000002</v>
      </c>
      <c r="CT38" s="244"/>
      <c r="CU38" s="244"/>
      <c r="CV38" s="244"/>
      <c r="CY38" s="206">
        <f>Data!CV91</f>
        <v>0</v>
      </c>
      <c r="DI38" s="192">
        <f t="shared" si="17"/>
        <v>3.7600000000000002</v>
      </c>
      <c r="DJ38" s="244"/>
      <c r="DK38" s="244"/>
      <c r="DL38" s="244"/>
      <c r="DO38" s="206">
        <f>Data!DL91</f>
        <v>0</v>
      </c>
      <c r="DY38" s="192">
        <f t="shared" si="18"/>
        <v>3.7600000000000002</v>
      </c>
      <c r="DZ38" s="244"/>
      <c r="EA38" s="244"/>
      <c r="EB38" s="244"/>
      <c r="EE38" s="206">
        <f>Data!EB91</f>
        <v>0</v>
      </c>
      <c r="EO38" s="192">
        <f t="shared" si="19"/>
        <v>3.7600000000000002</v>
      </c>
      <c r="EP38" s="244"/>
      <c r="EQ38" s="244"/>
      <c r="ER38" s="244"/>
      <c r="EU38" s="206">
        <f>Data!ER91</f>
        <v>0</v>
      </c>
      <c r="FE38" s="192">
        <f t="shared" si="20"/>
        <v>3.7600000000000002</v>
      </c>
      <c r="FF38" s="244"/>
      <c r="FG38" s="244"/>
      <c r="FH38" s="244"/>
      <c r="FK38" s="206">
        <f>Data!FH91</f>
        <v>0</v>
      </c>
      <c r="FU38" s="192">
        <f t="shared" si="21"/>
        <v>3.7600000000000002</v>
      </c>
      <c r="FV38" s="244"/>
      <c r="FW38" s="244"/>
      <c r="FX38" s="244"/>
      <c r="GA38" s="206">
        <f>Data!FX91</f>
        <v>0</v>
      </c>
      <c r="GK38" s="192">
        <f t="shared" si="22"/>
        <v>3.7600000000000002</v>
      </c>
      <c r="GL38" s="244"/>
      <c r="GM38" s="244"/>
      <c r="GN38" s="244"/>
      <c r="GQ38" s="206">
        <f>Data!GN91</f>
        <v>0</v>
      </c>
      <c r="HA38" s="192">
        <f t="shared" si="23"/>
        <v>3.7600000000000002</v>
      </c>
      <c r="HB38" s="244"/>
      <c r="HC38" s="244"/>
      <c r="HD38" s="244"/>
      <c r="HF38" s="172"/>
      <c r="HG38" s="172"/>
      <c r="HH38" s="172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2.75" x14ac:dyDescent="0.2">
      <c r="B39" s="202" t="s">
        <v>416</v>
      </c>
      <c r="J39" s="183"/>
      <c r="K39" s="183"/>
      <c r="M39" s="184">
        <f>IF(D36=0,0,(Data!E80*Data!E81/Data!E82))</f>
        <v>20.571428571428573</v>
      </c>
      <c r="N39" s="248">
        <f>IF(H5=0,0,(M39/H5)*100)</f>
        <v>0</v>
      </c>
      <c r="O39" s="248">
        <f>IF(H6=0,0,(M39/H6)*100)</f>
        <v>0</v>
      </c>
      <c r="P39" s="248">
        <f>IF(H7=0,0,(M39/H7)*100)</f>
        <v>0</v>
      </c>
      <c r="R39" s="913"/>
      <c r="V39" s="206">
        <f>Data!S92</f>
        <v>0</v>
      </c>
      <c r="AF39" s="192">
        <f t="shared" si="12"/>
        <v>0</v>
      </c>
      <c r="AG39" s="244"/>
      <c r="AH39" s="244"/>
      <c r="AI39" s="244"/>
      <c r="AM39" s="206">
        <f>Data!AJ92</f>
        <v>0</v>
      </c>
      <c r="AW39" s="192">
        <f t="shared" si="13"/>
        <v>0</v>
      </c>
      <c r="AX39" s="244"/>
      <c r="AY39" s="244"/>
      <c r="AZ39" s="244"/>
      <c r="BC39" s="206">
        <f>Data!AZ92</f>
        <v>0</v>
      </c>
      <c r="BM39" s="192">
        <f t="shared" si="14"/>
        <v>0</v>
      </c>
      <c r="BN39" s="244"/>
      <c r="BO39" s="244"/>
      <c r="BP39" s="244"/>
      <c r="BS39" s="206">
        <f>Data!BP92</f>
        <v>0</v>
      </c>
      <c r="CC39" s="192">
        <f t="shared" si="15"/>
        <v>0</v>
      </c>
      <c r="CD39" s="244"/>
      <c r="CE39" s="244"/>
      <c r="CF39" s="244"/>
      <c r="CI39" s="206">
        <f>Data!CF92</f>
        <v>0</v>
      </c>
      <c r="CS39" s="192">
        <f t="shared" si="16"/>
        <v>0</v>
      </c>
      <c r="CT39" s="244"/>
      <c r="CU39" s="244"/>
      <c r="CV39" s="244"/>
      <c r="CY39" s="206">
        <f>Data!CV92</f>
        <v>0</v>
      </c>
      <c r="DI39" s="192">
        <f t="shared" si="17"/>
        <v>0</v>
      </c>
      <c r="DJ39" s="244"/>
      <c r="DK39" s="244"/>
      <c r="DL39" s="244"/>
      <c r="DO39" s="206">
        <f>Data!DL92</f>
        <v>0</v>
      </c>
      <c r="DY39" s="192">
        <f t="shared" si="18"/>
        <v>0</v>
      </c>
      <c r="DZ39" s="244"/>
      <c r="EA39" s="244"/>
      <c r="EB39" s="244"/>
      <c r="EE39" s="206">
        <f>Data!EB92</f>
        <v>0</v>
      </c>
      <c r="EO39" s="192">
        <f t="shared" si="19"/>
        <v>0</v>
      </c>
      <c r="EP39" s="244"/>
      <c r="EQ39" s="244"/>
      <c r="ER39" s="244"/>
      <c r="EU39" s="206">
        <f>Data!ER92</f>
        <v>0</v>
      </c>
      <c r="FE39" s="192">
        <f t="shared" si="20"/>
        <v>0</v>
      </c>
      <c r="FF39" s="244"/>
      <c r="FG39" s="244"/>
      <c r="FH39" s="244"/>
      <c r="FK39" s="206">
        <f>Data!FH92</f>
        <v>0</v>
      </c>
      <c r="FU39" s="192">
        <f t="shared" si="21"/>
        <v>0</v>
      </c>
      <c r="FV39" s="244"/>
      <c r="FW39" s="244"/>
      <c r="FX39" s="244"/>
      <c r="GA39" s="206">
        <f>Data!FX92</f>
        <v>0</v>
      </c>
      <c r="GK39" s="192">
        <f t="shared" si="22"/>
        <v>0</v>
      </c>
      <c r="GL39" s="244"/>
      <c r="GM39" s="244"/>
      <c r="GN39" s="244"/>
      <c r="GQ39" s="206">
        <f>Data!GN92</f>
        <v>0</v>
      </c>
      <c r="HA39" s="192">
        <f t="shared" si="23"/>
        <v>0</v>
      </c>
      <c r="HB39" s="244"/>
      <c r="HC39" s="244"/>
      <c r="HD39" s="244"/>
      <c r="HF39" s="172"/>
      <c r="HG39" s="172"/>
      <c r="HH39" s="172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2.75" x14ac:dyDescent="0.2">
      <c r="B40" s="257" t="s">
        <v>418</v>
      </c>
      <c r="C40" s="258"/>
      <c r="D40" s="258"/>
      <c r="E40" s="258"/>
      <c r="F40" s="258"/>
      <c r="G40" s="258"/>
      <c r="H40" s="272" t="e">
        <f>SUM((K51+M53+M54+M55+M56+M57+M58+M60)+(N63+N64+N65+M66+M67+M68+M70)*0.6)/(Data!E82+1)</f>
        <v>#DIV/0!</v>
      </c>
      <c r="I40" s="258"/>
      <c r="J40" s="259"/>
      <c r="K40" s="259"/>
      <c r="L40" s="251"/>
      <c r="M40" s="291" t="e">
        <f>H40</f>
        <v>#DIV/0!</v>
      </c>
      <c r="N40" s="292">
        <f>IF(H5=0,0,M40/H5)*100</f>
        <v>0</v>
      </c>
      <c r="O40" s="292">
        <f>IF(H6=0,0,M40/H6*100)</f>
        <v>0</v>
      </c>
      <c r="P40" s="292">
        <f>IF(H7=0,0,M40/H7*100)</f>
        <v>0</v>
      </c>
      <c r="R40" s="913"/>
      <c r="V40" s="293">
        <f>Data!S93</f>
        <v>0</v>
      </c>
      <c r="AF40" s="192">
        <f t="shared" si="12"/>
        <v>0</v>
      </c>
      <c r="AG40" s="244"/>
      <c r="AH40" s="244"/>
      <c r="AI40" s="244"/>
      <c r="AM40" s="293">
        <f>Data!AJ93</f>
        <v>0</v>
      </c>
      <c r="AW40" s="192">
        <f t="shared" si="13"/>
        <v>0</v>
      </c>
      <c r="AX40" s="244"/>
      <c r="AY40" s="244"/>
      <c r="AZ40" s="244"/>
      <c r="BC40" s="293">
        <f>Data!AZ93</f>
        <v>0</v>
      </c>
      <c r="BM40" s="192">
        <f t="shared" si="14"/>
        <v>0</v>
      </c>
      <c r="BN40" s="244"/>
      <c r="BO40" s="244"/>
      <c r="BP40" s="244"/>
      <c r="BS40" s="293">
        <f>Data!BP93</f>
        <v>0</v>
      </c>
      <c r="CC40" s="192">
        <f t="shared" si="15"/>
        <v>0</v>
      </c>
      <c r="CD40" s="244"/>
      <c r="CE40" s="244"/>
      <c r="CF40" s="244"/>
      <c r="CI40" s="293">
        <f>Data!CF93</f>
        <v>0</v>
      </c>
      <c r="CS40" s="192">
        <f t="shared" si="16"/>
        <v>0</v>
      </c>
      <c r="CT40" s="244"/>
      <c r="CU40" s="244"/>
      <c r="CV40" s="244"/>
      <c r="CY40" s="293">
        <f>Data!CV93</f>
        <v>0</v>
      </c>
      <c r="DI40" s="192">
        <f t="shared" si="17"/>
        <v>0</v>
      </c>
      <c r="DJ40" s="244"/>
      <c r="DK40" s="244"/>
      <c r="DL40" s="244"/>
      <c r="DO40" s="293">
        <f>Data!DL93</f>
        <v>0</v>
      </c>
      <c r="DY40" s="192">
        <f t="shared" si="18"/>
        <v>0</v>
      </c>
      <c r="DZ40" s="244"/>
      <c r="EA40" s="244"/>
      <c r="EB40" s="244"/>
      <c r="EE40" s="293">
        <f>Data!EB93</f>
        <v>0</v>
      </c>
      <c r="EO40" s="192">
        <f t="shared" si="19"/>
        <v>0</v>
      </c>
      <c r="EP40" s="244"/>
      <c r="EQ40" s="244"/>
      <c r="ER40" s="244"/>
      <c r="EU40" s="293">
        <f>Data!ER93</f>
        <v>0</v>
      </c>
      <c r="FE40" s="192">
        <f t="shared" si="20"/>
        <v>0</v>
      </c>
      <c r="FF40" s="244"/>
      <c r="FG40" s="244"/>
      <c r="FH40" s="244"/>
      <c r="FK40" s="293">
        <f>Data!FH93</f>
        <v>0</v>
      </c>
      <c r="FU40" s="192">
        <f t="shared" si="21"/>
        <v>0</v>
      </c>
      <c r="FV40" s="244"/>
      <c r="FW40" s="244"/>
      <c r="FX40" s="244"/>
      <c r="GA40" s="293">
        <f>Data!FX93</f>
        <v>0</v>
      </c>
      <c r="GK40" s="192">
        <f t="shared" si="22"/>
        <v>0</v>
      </c>
      <c r="GL40" s="244"/>
      <c r="GM40" s="244"/>
      <c r="GN40" s="244"/>
      <c r="GQ40" s="293">
        <f>Data!GN93</f>
        <v>0</v>
      </c>
      <c r="HA40" s="192">
        <f t="shared" si="23"/>
        <v>0</v>
      </c>
      <c r="HB40" s="244"/>
      <c r="HC40" s="244"/>
      <c r="HD40" s="244"/>
      <c r="HF40" s="172"/>
      <c r="HG40" s="172"/>
      <c r="HH40" s="172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2.75" x14ac:dyDescent="0.2">
      <c r="B41" s="287" t="s">
        <v>90</v>
      </c>
      <c r="C41" s="179"/>
      <c r="D41" s="179"/>
      <c r="E41" s="179"/>
      <c r="F41" s="179"/>
      <c r="G41" s="179"/>
      <c r="H41" s="179"/>
      <c r="I41" s="179"/>
      <c r="J41" s="288"/>
      <c r="K41" s="288"/>
      <c r="M41" s="289"/>
      <c r="N41" s="290"/>
      <c r="O41" s="290"/>
      <c r="P41" s="290"/>
      <c r="R41" s="913"/>
      <c r="V41" s="206" t="s">
        <v>420</v>
      </c>
      <c r="AF41" s="192">
        <f t="shared" si="12"/>
        <v>18</v>
      </c>
      <c r="AG41" s="244"/>
      <c r="AH41" s="244"/>
      <c r="AI41" s="244"/>
      <c r="AM41" s="206" t="s">
        <v>420</v>
      </c>
      <c r="AW41" s="192">
        <f t="shared" si="13"/>
        <v>18</v>
      </c>
      <c r="AX41" s="244"/>
      <c r="AY41" s="244"/>
      <c r="AZ41" s="244"/>
      <c r="BC41" s="206" t="s">
        <v>420</v>
      </c>
      <c r="BM41" s="192">
        <f t="shared" si="14"/>
        <v>18</v>
      </c>
      <c r="BN41" s="244"/>
      <c r="BO41" s="244"/>
      <c r="BP41" s="244"/>
      <c r="BS41" s="206" t="s">
        <v>420</v>
      </c>
      <c r="CC41" s="192">
        <f t="shared" si="15"/>
        <v>18</v>
      </c>
      <c r="CD41" s="244"/>
      <c r="CE41" s="244"/>
      <c r="CF41" s="244"/>
      <c r="CI41" s="206" t="s">
        <v>420</v>
      </c>
      <c r="CS41" s="192">
        <f t="shared" si="16"/>
        <v>18</v>
      </c>
      <c r="CT41" s="244"/>
      <c r="CU41" s="244"/>
      <c r="CV41" s="244"/>
      <c r="CY41" s="206" t="s">
        <v>420</v>
      </c>
      <c r="DI41" s="192">
        <f t="shared" si="17"/>
        <v>18</v>
      </c>
      <c r="DJ41" s="244"/>
      <c r="DK41" s="244"/>
      <c r="DL41" s="244"/>
      <c r="DO41" s="206" t="s">
        <v>420</v>
      </c>
      <c r="DY41" s="192">
        <f t="shared" si="18"/>
        <v>18</v>
      </c>
      <c r="DZ41" s="244"/>
      <c r="EA41" s="244"/>
      <c r="EB41" s="244"/>
      <c r="EE41" s="206" t="s">
        <v>420</v>
      </c>
      <c r="EO41" s="192">
        <f t="shared" si="19"/>
        <v>18</v>
      </c>
      <c r="EP41" s="244"/>
      <c r="EQ41" s="244"/>
      <c r="ER41" s="244"/>
      <c r="EU41" s="206" t="s">
        <v>420</v>
      </c>
      <c r="FE41" s="192">
        <f t="shared" si="20"/>
        <v>18</v>
      </c>
      <c r="FF41" s="244"/>
      <c r="FG41" s="244"/>
      <c r="FH41" s="244"/>
      <c r="FK41" s="206" t="s">
        <v>420</v>
      </c>
      <c r="FU41" s="192">
        <f t="shared" si="21"/>
        <v>18</v>
      </c>
      <c r="FV41" s="244"/>
      <c r="FW41" s="244"/>
      <c r="FX41" s="244"/>
      <c r="GA41" s="206" t="s">
        <v>420</v>
      </c>
      <c r="GK41" s="192">
        <f t="shared" si="22"/>
        <v>18</v>
      </c>
      <c r="GL41" s="244"/>
      <c r="GM41" s="244"/>
      <c r="GN41" s="244"/>
      <c r="GQ41" s="206" t="s">
        <v>420</v>
      </c>
      <c r="HA41" s="192">
        <f t="shared" si="23"/>
        <v>18</v>
      </c>
      <c r="HB41" s="244"/>
      <c r="HC41" s="244"/>
      <c r="HD41" s="244"/>
      <c r="HF41" s="172"/>
      <c r="HG41" s="172"/>
      <c r="HH41" s="172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272" customFormat="1" ht="12.75" x14ac:dyDescent="0.2">
      <c r="A42" s="869"/>
      <c r="B42" s="202" t="str">
        <f>Data!C85</f>
        <v>Single Super</v>
      </c>
      <c r="C42" s="162"/>
      <c r="D42" s="162"/>
      <c r="E42" s="162"/>
      <c r="F42" s="162"/>
      <c r="G42" s="162"/>
      <c r="H42" s="162"/>
      <c r="I42" s="162"/>
      <c r="J42" s="183"/>
      <c r="K42" s="183"/>
      <c r="L42" s="163"/>
      <c r="M42" s="184">
        <f>IF(D36=0,0,((Data!E85+Data!G96)/1000*Data!H85))</f>
        <v>53.5</v>
      </c>
      <c r="N42" s="248"/>
      <c r="O42" s="248"/>
      <c r="P42" s="248"/>
      <c r="Q42" s="912"/>
      <c r="R42" s="913"/>
      <c r="S42" s="167"/>
      <c r="T42" s="168"/>
      <c r="U42" s="168"/>
      <c r="V42" s="271" t="s">
        <v>421</v>
      </c>
      <c r="AE42" s="280">
        <f>SUM(AF33:AF41)</f>
        <v>240.76</v>
      </c>
      <c r="AF42" s="249"/>
      <c r="AG42" s="281">
        <f>IF(AB5=0,0,(AE42/AB5)*100)</f>
        <v>120.38</v>
      </c>
      <c r="AH42" s="281">
        <f>IF(AB6=0,0,(AE42/AB6)*100)</f>
        <v>120.38</v>
      </c>
      <c r="AI42" s="281">
        <f>IF(AB7=0,0,(AE42/AB7)*100)*Data!E94</f>
        <v>72.227999999999994</v>
      </c>
      <c r="AJ42" s="168"/>
      <c r="AK42" s="168"/>
      <c r="AL42" s="169"/>
      <c r="AM42" s="271" t="s">
        <v>421</v>
      </c>
      <c r="AV42" s="280">
        <f>SUM(AW33:AW41)</f>
        <v>240.76</v>
      </c>
      <c r="AW42" s="249"/>
      <c r="AX42" s="281">
        <f>IF(AS5=0,0,(AV42/AS5)*100)</f>
        <v>107.00444444444443</v>
      </c>
      <c r="AY42" s="281">
        <f>IF(AS6=0,0,(AV42/AS6)*100)</f>
        <v>107.00444444444443</v>
      </c>
      <c r="AZ42" s="281">
        <f>IF(AS7=0,0,(AV42/AS7)*100)*Data!E94</f>
        <v>64.202666666666659</v>
      </c>
      <c r="BA42" s="168"/>
      <c r="BB42" s="168"/>
      <c r="BC42" s="271" t="s">
        <v>421</v>
      </c>
      <c r="BL42" s="280">
        <f>SUM(BM33:BM41)</f>
        <v>240.76</v>
      </c>
      <c r="BM42" s="249"/>
      <c r="BN42" s="281">
        <f>IF(BI5=0,0,(BL42/BI5)*100)</f>
        <v>96.304000000000002</v>
      </c>
      <c r="BO42" s="281">
        <f>IF(BI6=0,0,(BL42/BI6)*100)</f>
        <v>96.304000000000002</v>
      </c>
      <c r="BP42" s="281">
        <f>IF(BI7=0,0,(BL42/BI7)*100)*Data!E94</f>
        <v>57.782399999999996</v>
      </c>
      <c r="BQ42" s="168"/>
      <c r="BR42" s="168"/>
      <c r="BS42" s="271" t="s">
        <v>421</v>
      </c>
      <c r="CB42" s="280">
        <f>SUM(CC33:CC41)</f>
        <v>240.76</v>
      </c>
      <c r="CC42" s="249"/>
      <c r="CD42" s="281">
        <f>IF(BY5=0,0,(CB42/BY5)*100)</f>
        <v>87.549090909090907</v>
      </c>
      <c r="CE42" s="281">
        <f>IF(BY6=0,0,(CB42/BY6)*100)</f>
        <v>87.549090909090907</v>
      </c>
      <c r="CF42" s="281">
        <f>IF(BY7=0,0,(CB42/BY7)*100)*Data!E94</f>
        <v>52.529454545454541</v>
      </c>
      <c r="CG42" s="168"/>
      <c r="CH42" s="168"/>
      <c r="CI42" s="271" t="s">
        <v>421</v>
      </c>
      <c r="CR42" s="280">
        <f>SUM(CS33:CS41)</f>
        <v>240.76</v>
      </c>
      <c r="CS42" s="249"/>
      <c r="CT42" s="281">
        <f>IF(CO5=0,0,(CR42/CO5)*100)</f>
        <v>80.25333333333333</v>
      </c>
      <c r="CU42" s="281">
        <f>IF(CO6=0,0,(CR42/CO6)*100)</f>
        <v>80.25333333333333</v>
      </c>
      <c r="CV42" s="281">
        <f>IF(CO7=0,0,(CR42/CO7)*100)*Data!E94</f>
        <v>48.151999999999994</v>
      </c>
      <c r="CW42" s="168"/>
      <c r="CX42" s="168"/>
      <c r="CY42" s="271" t="s">
        <v>421</v>
      </c>
      <c r="DH42" s="280">
        <f>SUM(DI33:DI41)</f>
        <v>240.76</v>
      </c>
      <c r="DI42" s="249"/>
      <c r="DJ42" s="281">
        <f>IF(DE5=0,0,(DH42/DE5)*100)</f>
        <v>74.08</v>
      </c>
      <c r="DK42" s="281">
        <f>IF(DE6=0,0,(DH42/DE6)*100)</f>
        <v>74.08</v>
      </c>
      <c r="DL42" s="281">
        <f>IF(DE7=0,0,(DH42/DE7)*100)*Data!E94</f>
        <v>44.448</v>
      </c>
      <c r="DM42" s="168"/>
      <c r="DN42" s="168"/>
      <c r="DO42" s="271" t="s">
        <v>421</v>
      </c>
      <c r="DX42" s="280">
        <f>SUM(DY33:DY41)</f>
        <v>240.76</v>
      </c>
      <c r="DY42" s="249"/>
      <c r="DZ42" s="281">
        <f>IF(DU5=0,0,(DX42/DU5)*100)</f>
        <v>68.788571428571416</v>
      </c>
      <c r="EA42" s="281">
        <f>IF(DU6=0,0,(DX42/DU6)*100)</f>
        <v>68.788571428571416</v>
      </c>
      <c r="EB42" s="281">
        <f>IF(DU7=0,0,(DX42/DU7)*100)*Data!E94</f>
        <v>41.273142857142851</v>
      </c>
      <c r="EC42" s="168"/>
      <c r="ED42" s="168"/>
      <c r="EE42" s="271" t="s">
        <v>421</v>
      </c>
      <c r="EN42" s="280">
        <f>SUM(EO33:EO41)</f>
        <v>240.76</v>
      </c>
      <c r="EO42" s="249"/>
      <c r="EP42" s="281">
        <f>IF(EK5=0,0,(EN42/EK5)*100)</f>
        <v>64.202666666666659</v>
      </c>
      <c r="EQ42" s="281">
        <f>IF(EK6=0,0,(EN42/EK6)*100)</f>
        <v>64.202666666666659</v>
      </c>
      <c r="ER42" s="281">
        <f>IF(EK7=0,0,(EN42/EK7)*100)*Data!E94</f>
        <v>38.521599999999992</v>
      </c>
      <c r="ES42" s="168"/>
      <c r="ET42" s="168"/>
      <c r="EU42" s="271" t="s">
        <v>421</v>
      </c>
      <c r="FD42" s="280">
        <f>SUM(FE33:FE41)</f>
        <v>240.76</v>
      </c>
      <c r="FE42" s="249"/>
      <c r="FF42" s="281">
        <f>IF(FA5=0,0,(FD42/FA5)*100)</f>
        <v>60.19</v>
      </c>
      <c r="FG42" s="281">
        <f>IF(FA6=0,0,(FD42/FA6)*100)</f>
        <v>60.19</v>
      </c>
      <c r="FH42" s="281">
        <f>IF(FA7=0,0,(FD42/FA7)*100)*Data!E94</f>
        <v>36.113999999999997</v>
      </c>
      <c r="FI42" s="168"/>
      <c r="FJ42" s="168"/>
      <c r="FK42" s="271" t="s">
        <v>421</v>
      </c>
      <c r="FT42" s="280">
        <f>SUM(FU33:FU41)</f>
        <v>240.76</v>
      </c>
      <c r="FU42" s="249"/>
      <c r="FV42" s="281">
        <f>IF(FQ5=0,0,(FT42/FQ5)*100)</f>
        <v>56.649411764705881</v>
      </c>
      <c r="FW42" s="281">
        <f>IF(FQ6=0,0,(FT42/FQ6)*100)</f>
        <v>56.649411764705881</v>
      </c>
      <c r="FX42" s="281">
        <f>IF(FQ7=0,0,(FT42/FQ7)*100)*Data!E94</f>
        <v>33.989647058823529</v>
      </c>
      <c r="FY42" s="168"/>
      <c r="FZ42" s="168"/>
      <c r="GA42" s="271" t="s">
        <v>421</v>
      </c>
      <c r="GJ42" s="280">
        <f>SUM(GK33:GK41)</f>
        <v>240.76</v>
      </c>
      <c r="GK42" s="249"/>
      <c r="GL42" s="281">
        <f>IF(GG5=0,0,(GJ42/GG5)*100)</f>
        <v>53.502222222222215</v>
      </c>
      <c r="GM42" s="281">
        <f>IF(GG6=0,0,(GJ42/GG6)*100)</f>
        <v>53.502222222222215</v>
      </c>
      <c r="GN42" s="281">
        <f>IF(GG7=0,0,(GJ42/GG7)*100)*Data!E94</f>
        <v>32.101333333333329</v>
      </c>
      <c r="GO42" s="168"/>
      <c r="GP42" s="168"/>
      <c r="GQ42" s="271" t="s">
        <v>421</v>
      </c>
      <c r="GZ42" s="280">
        <f>SUM(HA33:HA41)</f>
        <v>240.76</v>
      </c>
      <c r="HA42" s="249"/>
      <c r="HB42" s="281">
        <f>IF(GW5=0,0,(GZ42/GW5)*100)</f>
        <v>50.686315789473682</v>
      </c>
      <c r="HC42" s="281">
        <f>IF(GW6=0,0,(GZ42/GW6)*100)</f>
        <v>50.686315789473682</v>
      </c>
      <c r="HD42" s="281">
        <f>IF(GW7=0,0,(GZ42/GW7)*100)*Data!E94</f>
        <v>30.411789473684209</v>
      </c>
      <c r="HE42" s="168"/>
      <c r="HF42" s="172"/>
      <c r="HG42" s="172"/>
      <c r="HH42" s="17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87" customFormat="1" ht="12.75" x14ac:dyDescent="0.2">
      <c r="A43" s="869"/>
      <c r="B43" s="202" t="str">
        <f>Data!C86</f>
        <v>2 and 1</v>
      </c>
      <c r="C43" s="162"/>
      <c r="D43" s="162"/>
      <c r="E43" s="162"/>
      <c r="F43" s="162"/>
      <c r="G43" s="162"/>
      <c r="H43" s="162"/>
      <c r="I43" s="162"/>
      <c r="J43" s="162"/>
      <c r="K43" s="162"/>
      <c r="L43" s="163"/>
      <c r="M43" s="184">
        <f>IF(D36=0,0,(Data!E86+Data!G96)/1000*Data!H86)</f>
        <v>149</v>
      </c>
      <c r="N43" s="248"/>
      <c r="O43" s="248"/>
      <c r="P43" s="248"/>
      <c r="Q43" s="912"/>
      <c r="R43" s="913"/>
      <c r="S43" s="167"/>
      <c r="T43" s="168"/>
      <c r="U43" s="168"/>
      <c r="V43" s="276" t="s">
        <v>107</v>
      </c>
      <c r="AD43" s="277"/>
      <c r="AE43" s="277"/>
      <c r="AF43" s="278"/>
      <c r="AG43" s="279"/>
      <c r="AH43" s="279"/>
      <c r="AI43" s="279"/>
      <c r="AJ43" s="168"/>
      <c r="AK43" s="168"/>
      <c r="AL43" s="169"/>
      <c r="AM43" s="276" t="s">
        <v>107</v>
      </c>
      <c r="AU43" s="277"/>
      <c r="AV43" s="277"/>
      <c r="AW43" s="278"/>
      <c r="AX43" s="279"/>
      <c r="AY43" s="279"/>
      <c r="AZ43" s="279"/>
      <c r="BA43" s="168"/>
      <c r="BB43" s="168"/>
      <c r="BC43" s="276" t="s">
        <v>107</v>
      </c>
      <c r="BK43" s="277"/>
      <c r="BL43" s="277"/>
      <c r="BM43" s="278"/>
      <c r="BN43" s="279"/>
      <c r="BO43" s="279"/>
      <c r="BP43" s="279"/>
      <c r="BQ43" s="168"/>
      <c r="BR43" s="168"/>
      <c r="BS43" s="276" t="s">
        <v>107</v>
      </c>
      <c r="CA43" s="277"/>
      <c r="CB43" s="277"/>
      <c r="CC43" s="278"/>
      <c r="CD43" s="279"/>
      <c r="CE43" s="279"/>
      <c r="CF43" s="279"/>
      <c r="CG43" s="168"/>
      <c r="CH43" s="168"/>
      <c r="CI43" s="276" t="s">
        <v>107</v>
      </c>
      <c r="CQ43" s="277"/>
      <c r="CR43" s="277"/>
      <c r="CS43" s="278"/>
      <c r="CT43" s="279"/>
      <c r="CU43" s="279"/>
      <c r="CV43" s="279"/>
      <c r="CW43" s="168"/>
      <c r="CX43" s="168"/>
      <c r="CY43" s="276" t="s">
        <v>107</v>
      </c>
      <c r="DG43" s="277"/>
      <c r="DH43" s="277"/>
      <c r="DI43" s="278"/>
      <c r="DJ43" s="279"/>
      <c r="DK43" s="279"/>
      <c r="DL43" s="279"/>
      <c r="DM43" s="168"/>
      <c r="DN43" s="168"/>
      <c r="DO43" s="276" t="s">
        <v>107</v>
      </c>
      <c r="DW43" s="277"/>
      <c r="DX43" s="277"/>
      <c r="DY43" s="278"/>
      <c r="DZ43" s="279"/>
      <c r="EA43" s="279"/>
      <c r="EB43" s="279"/>
      <c r="EC43" s="168"/>
      <c r="ED43" s="168"/>
      <c r="EE43" s="276" t="s">
        <v>107</v>
      </c>
      <c r="EM43" s="277"/>
      <c r="EN43" s="277"/>
      <c r="EO43" s="278"/>
      <c r="EP43" s="279"/>
      <c r="EQ43" s="279"/>
      <c r="ER43" s="279"/>
      <c r="ES43" s="168"/>
      <c r="ET43" s="168"/>
      <c r="EU43" s="276" t="s">
        <v>107</v>
      </c>
      <c r="FC43" s="277"/>
      <c r="FD43" s="277"/>
      <c r="FE43" s="278"/>
      <c r="FF43" s="279"/>
      <c r="FG43" s="279"/>
      <c r="FH43" s="279"/>
      <c r="FI43" s="168"/>
      <c r="FJ43" s="168"/>
      <c r="FK43" s="276" t="s">
        <v>107</v>
      </c>
      <c r="FS43" s="277"/>
      <c r="FT43" s="277"/>
      <c r="FU43" s="278"/>
      <c r="FV43" s="279"/>
      <c r="FW43" s="279"/>
      <c r="FX43" s="279"/>
      <c r="FY43" s="168"/>
      <c r="FZ43" s="168"/>
      <c r="GA43" s="276" t="s">
        <v>107</v>
      </c>
      <c r="GI43" s="277"/>
      <c r="GJ43" s="277"/>
      <c r="GK43" s="278"/>
      <c r="GL43" s="279"/>
      <c r="GM43" s="279"/>
      <c r="GN43" s="279"/>
      <c r="GO43" s="168"/>
      <c r="GP43" s="168"/>
      <c r="GQ43" s="276" t="s">
        <v>107</v>
      </c>
      <c r="GY43" s="277"/>
      <c r="GZ43" s="277"/>
      <c r="HA43" s="278"/>
      <c r="HB43" s="279"/>
      <c r="HC43" s="279"/>
      <c r="HD43" s="279"/>
      <c r="HE43" s="168"/>
      <c r="HF43" s="172"/>
      <c r="HG43" s="172"/>
      <c r="HH43" s="172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68" customFormat="1" ht="12.75" x14ac:dyDescent="0.2">
      <c r="A44" s="869"/>
      <c r="B44" s="294">
        <f>Data!C87</f>
        <v>0</v>
      </c>
      <c r="C44" s="162"/>
      <c r="D44" s="162"/>
      <c r="E44" s="162"/>
      <c r="F44" s="162"/>
      <c r="G44" s="162"/>
      <c r="H44" s="162"/>
      <c r="I44" s="162"/>
      <c r="J44" s="162"/>
      <c r="K44" s="162"/>
      <c r="L44" s="163"/>
      <c r="M44" s="184">
        <f>IF(D36=0,0,(Data!E87+Data!G96)/1000*Data!H87)</f>
        <v>0</v>
      </c>
      <c r="N44" s="248"/>
      <c r="O44" s="248"/>
      <c r="P44" s="248"/>
      <c r="Q44" s="912"/>
      <c r="R44" s="913"/>
      <c r="S44" s="167"/>
      <c r="V44" s="206" t="s">
        <v>422</v>
      </c>
      <c r="AD44" s="191"/>
      <c r="AE44" s="191"/>
      <c r="AF44" s="192">
        <f t="shared" ref="AF44:AF49" si="24">$M53</f>
        <v>72.727999999999994</v>
      </c>
      <c r="AG44" s="244"/>
      <c r="AH44" s="244"/>
      <c r="AI44" s="244"/>
      <c r="AL44" s="169"/>
      <c r="AM44" s="206" t="s">
        <v>422</v>
      </c>
      <c r="AU44" s="191"/>
      <c r="AV44" s="191"/>
      <c r="AW44" s="192">
        <f t="shared" ref="AW44:AW49" si="25">$M53</f>
        <v>72.727999999999994</v>
      </c>
      <c r="AX44" s="244"/>
      <c r="AY44" s="244"/>
      <c r="AZ44" s="244"/>
      <c r="BC44" s="206" t="s">
        <v>422</v>
      </c>
      <c r="BK44" s="191"/>
      <c r="BL44" s="191"/>
      <c r="BM44" s="192">
        <f t="shared" ref="BM44:BM49" si="26">$M53</f>
        <v>72.727999999999994</v>
      </c>
      <c r="BN44" s="244"/>
      <c r="BO44" s="244"/>
      <c r="BP44" s="244"/>
      <c r="BS44" s="206" t="s">
        <v>422</v>
      </c>
      <c r="CA44" s="191"/>
      <c r="CB44" s="191"/>
      <c r="CC44" s="192">
        <f t="shared" ref="CC44:CC49" si="27">$M53</f>
        <v>72.727999999999994</v>
      </c>
      <c r="CD44" s="244"/>
      <c r="CE44" s="244"/>
      <c r="CF44" s="244"/>
      <c r="CI44" s="206" t="s">
        <v>422</v>
      </c>
      <c r="CQ44" s="191"/>
      <c r="CR44" s="191"/>
      <c r="CS44" s="192">
        <f t="shared" ref="CS44:CS49" si="28">$M53</f>
        <v>72.727999999999994</v>
      </c>
      <c r="CT44" s="244"/>
      <c r="CU44" s="244"/>
      <c r="CV44" s="244"/>
      <c r="CY44" s="206" t="s">
        <v>422</v>
      </c>
      <c r="DG44" s="191"/>
      <c r="DH44" s="191"/>
      <c r="DI44" s="192">
        <f t="shared" ref="DI44:DI49" si="29">$M53</f>
        <v>72.727999999999994</v>
      </c>
      <c r="DJ44" s="244"/>
      <c r="DK44" s="244"/>
      <c r="DL44" s="244"/>
      <c r="DO44" s="206" t="s">
        <v>422</v>
      </c>
      <c r="DW44" s="191"/>
      <c r="DX44" s="191"/>
      <c r="DY44" s="192">
        <f t="shared" ref="DY44:DY49" si="30">$M53</f>
        <v>72.727999999999994</v>
      </c>
      <c r="DZ44" s="244"/>
      <c r="EA44" s="244"/>
      <c r="EB44" s="244"/>
      <c r="EE44" s="206" t="s">
        <v>422</v>
      </c>
      <c r="EM44" s="191"/>
      <c r="EN44" s="191"/>
      <c r="EO44" s="192">
        <f t="shared" ref="EO44:EO49" si="31">$M53</f>
        <v>72.727999999999994</v>
      </c>
      <c r="EP44" s="244"/>
      <c r="EQ44" s="244"/>
      <c r="ER44" s="244"/>
      <c r="EU44" s="206" t="s">
        <v>422</v>
      </c>
      <c r="FC44" s="191"/>
      <c r="FD44" s="191"/>
      <c r="FE44" s="192">
        <f t="shared" ref="FE44:FE49" si="32">$M53</f>
        <v>72.727999999999994</v>
      </c>
      <c r="FF44" s="244"/>
      <c r="FG44" s="244"/>
      <c r="FH44" s="244"/>
      <c r="FK44" s="206" t="s">
        <v>422</v>
      </c>
      <c r="FS44" s="191"/>
      <c r="FT44" s="191"/>
      <c r="FU44" s="192">
        <f t="shared" ref="FU44:FU49" si="33">$M53</f>
        <v>72.727999999999994</v>
      </c>
      <c r="FV44" s="244"/>
      <c r="FW44" s="244"/>
      <c r="FX44" s="244"/>
      <c r="GA44" s="206" t="s">
        <v>422</v>
      </c>
      <c r="GI44" s="191"/>
      <c r="GJ44" s="191"/>
      <c r="GK44" s="192">
        <f t="shared" ref="GK44:GK49" si="34">$M53</f>
        <v>72.727999999999994</v>
      </c>
      <c r="GL44" s="244"/>
      <c r="GM44" s="244"/>
      <c r="GN44" s="244"/>
      <c r="GQ44" s="206" t="s">
        <v>422</v>
      </c>
      <c r="GY44" s="191"/>
      <c r="GZ44" s="191"/>
      <c r="HA44" s="192">
        <f t="shared" ref="HA44:HA49" si="35">$M53</f>
        <v>72.727999999999994</v>
      </c>
      <c r="HB44" s="244"/>
      <c r="HC44" s="244"/>
      <c r="HD44" s="244"/>
      <c r="HF44" s="172"/>
      <c r="HG44" s="172"/>
      <c r="HH44" s="172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68" customFormat="1" ht="12.75" x14ac:dyDescent="0.2">
      <c r="A45" s="869"/>
      <c r="B45" s="294">
        <f>Data!C88</f>
        <v>0</v>
      </c>
      <c r="C45" s="162"/>
      <c r="D45" s="162"/>
      <c r="E45" s="162"/>
      <c r="F45" s="162"/>
      <c r="G45" s="162"/>
      <c r="H45" s="162"/>
      <c r="I45" s="162"/>
      <c r="J45" s="162"/>
      <c r="K45" s="162"/>
      <c r="L45" s="163"/>
      <c r="M45" s="184">
        <f>IF(D36=0,0,(Data!E88+Data!G96)/1000*Data!H88)</f>
        <v>0</v>
      </c>
      <c r="N45" s="248"/>
      <c r="O45" s="248"/>
      <c r="P45" s="248"/>
      <c r="Q45" s="912"/>
      <c r="R45" s="913"/>
      <c r="S45" s="167"/>
      <c r="V45" s="206" t="s">
        <v>423</v>
      </c>
      <c r="AD45" s="191"/>
      <c r="AE45" s="191"/>
      <c r="AF45" s="192">
        <f t="shared" si="24"/>
        <v>76.38</v>
      </c>
      <c r="AG45" s="244"/>
      <c r="AH45" s="244"/>
      <c r="AI45" s="244"/>
      <c r="AL45" s="169"/>
      <c r="AM45" s="206" t="s">
        <v>423</v>
      </c>
      <c r="AU45" s="191"/>
      <c r="AV45" s="191"/>
      <c r="AW45" s="192">
        <f t="shared" si="25"/>
        <v>76.38</v>
      </c>
      <c r="AX45" s="244"/>
      <c r="AY45" s="244"/>
      <c r="AZ45" s="244"/>
      <c r="BC45" s="206" t="s">
        <v>423</v>
      </c>
      <c r="BK45" s="191"/>
      <c r="BL45" s="191"/>
      <c r="BM45" s="192">
        <f t="shared" si="26"/>
        <v>76.38</v>
      </c>
      <c r="BN45" s="244"/>
      <c r="BO45" s="244"/>
      <c r="BP45" s="244"/>
      <c r="BS45" s="206" t="s">
        <v>423</v>
      </c>
      <c r="CA45" s="191"/>
      <c r="CB45" s="191"/>
      <c r="CC45" s="192">
        <f t="shared" si="27"/>
        <v>76.38</v>
      </c>
      <c r="CD45" s="244"/>
      <c r="CE45" s="244"/>
      <c r="CF45" s="244"/>
      <c r="CI45" s="206" t="s">
        <v>423</v>
      </c>
      <c r="CQ45" s="191"/>
      <c r="CR45" s="191"/>
      <c r="CS45" s="192">
        <f t="shared" si="28"/>
        <v>76.38</v>
      </c>
      <c r="CT45" s="244"/>
      <c r="CU45" s="244"/>
      <c r="CV45" s="244"/>
      <c r="CY45" s="206" t="s">
        <v>423</v>
      </c>
      <c r="DG45" s="191"/>
      <c r="DH45" s="191"/>
      <c r="DI45" s="192">
        <f t="shared" si="29"/>
        <v>76.38</v>
      </c>
      <c r="DJ45" s="244"/>
      <c r="DK45" s="244"/>
      <c r="DL45" s="244"/>
      <c r="DO45" s="206" t="s">
        <v>423</v>
      </c>
      <c r="DW45" s="191"/>
      <c r="DX45" s="191"/>
      <c r="DY45" s="192">
        <f t="shared" si="30"/>
        <v>76.38</v>
      </c>
      <c r="DZ45" s="244"/>
      <c r="EA45" s="244"/>
      <c r="EB45" s="244"/>
      <c r="EE45" s="206" t="s">
        <v>423</v>
      </c>
      <c r="EM45" s="191"/>
      <c r="EN45" s="191"/>
      <c r="EO45" s="192">
        <f t="shared" si="31"/>
        <v>76.38</v>
      </c>
      <c r="EP45" s="244"/>
      <c r="EQ45" s="244"/>
      <c r="ER45" s="244"/>
      <c r="EU45" s="206" t="s">
        <v>423</v>
      </c>
      <c r="FC45" s="191"/>
      <c r="FD45" s="191"/>
      <c r="FE45" s="192">
        <f t="shared" si="32"/>
        <v>76.38</v>
      </c>
      <c r="FF45" s="244"/>
      <c r="FG45" s="244"/>
      <c r="FH45" s="244"/>
      <c r="FK45" s="206" t="s">
        <v>423</v>
      </c>
      <c r="FS45" s="191"/>
      <c r="FT45" s="191"/>
      <c r="FU45" s="192">
        <f t="shared" si="33"/>
        <v>76.38</v>
      </c>
      <c r="FV45" s="244"/>
      <c r="FW45" s="244"/>
      <c r="FX45" s="244"/>
      <c r="GA45" s="206" t="s">
        <v>423</v>
      </c>
      <c r="GI45" s="191"/>
      <c r="GJ45" s="191"/>
      <c r="GK45" s="192">
        <f t="shared" si="34"/>
        <v>76.38</v>
      </c>
      <c r="GL45" s="244"/>
      <c r="GM45" s="244"/>
      <c r="GN45" s="244"/>
      <c r="GQ45" s="206" t="s">
        <v>423</v>
      </c>
      <c r="GY45" s="191"/>
      <c r="GZ45" s="191"/>
      <c r="HA45" s="192">
        <f t="shared" si="35"/>
        <v>76.38</v>
      </c>
      <c r="HB45" s="244"/>
      <c r="HC45" s="244"/>
      <c r="HD45" s="244"/>
      <c r="HF45" s="172"/>
      <c r="HG45" s="172"/>
      <c r="HH45" s="172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68" customFormat="1" ht="12.75" x14ac:dyDescent="0.2">
      <c r="A46" s="869"/>
      <c r="B46" s="294" t="e">
        <f>Data!#REF!</f>
        <v>#REF!</v>
      </c>
      <c r="C46" s="162"/>
      <c r="D46" s="162"/>
      <c r="E46" s="162"/>
      <c r="F46" s="162"/>
      <c r="G46" s="162"/>
      <c r="H46" s="162"/>
      <c r="I46" s="162"/>
      <c r="J46" s="162"/>
      <c r="K46" s="162"/>
      <c r="L46" s="163"/>
      <c r="M46" s="184">
        <f>IF(D36=0,0,(Data!E90*Data!H90))</f>
        <v>16.5</v>
      </c>
      <c r="N46" s="248"/>
      <c r="O46" s="248"/>
      <c r="P46" s="248"/>
      <c r="Q46" s="912"/>
      <c r="R46" s="913"/>
      <c r="S46" s="167"/>
      <c r="V46" s="206" t="s">
        <v>424</v>
      </c>
      <c r="AD46" s="191"/>
      <c r="AE46" s="191"/>
      <c r="AF46" s="192">
        <f t="shared" si="24"/>
        <v>36.924999999999997</v>
      </c>
      <c r="AG46" s="244"/>
      <c r="AH46" s="244"/>
      <c r="AI46" s="244"/>
      <c r="AL46" s="169"/>
      <c r="AM46" s="206" t="s">
        <v>424</v>
      </c>
      <c r="AU46" s="191"/>
      <c r="AV46" s="191"/>
      <c r="AW46" s="192">
        <f t="shared" si="25"/>
        <v>36.924999999999997</v>
      </c>
      <c r="AX46" s="244"/>
      <c r="AY46" s="244"/>
      <c r="AZ46" s="244"/>
      <c r="BC46" s="206" t="s">
        <v>424</v>
      </c>
      <c r="BK46" s="191"/>
      <c r="BL46" s="191"/>
      <c r="BM46" s="192">
        <f t="shared" si="26"/>
        <v>36.924999999999997</v>
      </c>
      <c r="BN46" s="244"/>
      <c r="BO46" s="244"/>
      <c r="BP46" s="244"/>
      <c r="BS46" s="206" t="s">
        <v>424</v>
      </c>
      <c r="CA46" s="191"/>
      <c r="CB46" s="191"/>
      <c r="CC46" s="192">
        <f t="shared" si="27"/>
        <v>36.924999999999997</v>
      </c>
      <c r="CD46" s="244"/>
      <c r="CE46" s="244"/>
      <c r="CF46" s="244"/>
      <c r="CI46" s="206" t="s">
        <v>424</v>
      </c>
      <c r="CQ46" s="191"/>
      <c r="CR46" s="191"/>
      <c r="CS46" s="192">
        <f t="shared" si="28"/>
        <v>36.924999999999997</v>
      </c>
      <c r="CT46" s="244"/>
      <c r="CU46" s="244"/>
      <c r="CV46" s="244"/>
      <c r="CY46" s="206" t="s">
        <v>424</v>
      </c>
      <c r="DG46" s="191"/>
      <c r="DH46" s="191"/>
      <c r="DI46" s="192">
        <f t="shared" si="29"/>
        <v>36.924999999999997</v>
      </c>
      <c r="DJ46" s="244"/>
      <c r="DK46" s="244"/>
      <c r="DL46" s="244"/>
      <c r="DO46" s="206" t="s">
        <v>424</v>
      </c>
      <c r="DW46" s="191"/>
      <c r="DX46" s="191"/>
      <c r="DY46" s="192">
        <f t="shared" si="30"/>
        <v>36.924999999999997</v>
      </c>
      <c r="DZ46" s="244"/>
      <c r="EA46" s="244"/>
      <c r="EB46" s="244"/>
      <c r="EE46" s="206" t="s">
        <v>424</v>
      </c>
      <c r="EM46" s="191"/>
      <c r="EN46" s="191"/>
      <c r="EO46" s="192">
        <f t="shared" si="31"/>
        <v>36.924999999999997</v>
      </c>
      <c r="EP46" s="244"/>
      <c r="EQ46" s="244"/>
      <c r="ER46" s="244"/>
      <c r="EU46" s="206" t="s">
        <v>424</v>
      </c>
      <c r="FC46" s="191"/>
      <c r="FD46" s="191"/>
      <c r="FE46" s="192">
        <f t="shared" si="32"/>
        <v>36.924999999999997</v>
      </c>
      <c r="FF46" s="244"/>
      <c r="FG46" s="244"/>
      <c r="FH46" s="244"/>
      <c r="FK46" s="206" t="s">
        <v>424</v>
      </c>
      <c r="FS46" s="191"/>
      <c r="FT46" s="191"/>
      <c r="FU46" s="192">
        <f t="shared" si="33"/>
        <v>36.924999999999997</v>
      </c>
      <c r="FV46" s="244"/>
      <c r="FW46" s="244"/>
      <c r="FX46" s="244"/>
      <c r="GA46" s="206" t="s">
        <v>424</v>
      </c>
      <c r="GI46" s="191"/>
      <c r="GJ46" s="191"/>
      <c r="GK46" s="192">
        <f t="shared" si="34"/>
        <v>36.924999999999997</v>
      </c>
      <c r="GL46" s="244"/>
      <c r="GM46" s="244"/>
      <c r="GN46" s="244"/>
      <c r="GQ46" s="206" t="s">
        <v>424</v>
      </c>
      <c r="GY46" s="191"/>
      <c r="GZ46" s="191"/>
      <c r="HA46" s="192">
        <f t="shared" si="35"/>
        <v>36.924999999999997</v>
      </c>
      <c r="HB46" s="244"/>
      <c r="HC46" s="244"/>
      <c r="HD46" s="244"/>
      <c r="HF46" s="172"/>
      <c r="HG46" s="172"/>
      <c r="HH46" s="172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68" customFormat="1" ht="12.75" x14ac:dyDescent="0.2">
      <c r="A47" s="869"/>
      <c r="B47" s="294" t="str">
        <f>Data!C90</f>
        <v>Lucerne Lift/Up</v>
      </c>
      <c r="C47" s="162"/>
      <c r="D47" s="162"/>
      <c r="E47" s="162"/>
      <c r="F47" s="162"/>
      <c r="G47" s="162"/>
      <c r="H47" s="162"/>
      <c r="I47" s="162"/>
      <c r="J47" s="162"/>
      <c r="K47" s="162"/>
      <c r="L47" s="163"/>
      <c r="M47" s="184">
        <f>IF(D36=0,0,(Data!E91*Data!H91))</f>
        <v>3.7600000000000002</v>
      </c>
      <c r="N47" s="248"/>
      <c r="O47" s="248"/>
      <c r="P47" s="248"/>
      <c r="Q47" s="912"/>
      <c r="R47" s="913"/>
      <c r="S47" s="167"/>
      <c r="V47" s="206" t="s">
        <v>126</v>
      </c>
      <c r="AD47" s="191"/>
      <c r="AE47" s="191"/>
      <c r="AF47" s="192">
        <f t="shared" si="24"/>
        <v>12.5</v>
      </c>
      <c r="AG47" s="244"/>
      <c r="AH47" s="244"/>
      <c r="AI47" s="244"/>
      <c r="AL47" s="169"/>
      <c r="AM47" s="206" t="s">
        <v>126</v>
      </c>
      <c r="AU47" s="191"/>
      <c r="AV47" s="191"/>
      <c r="AW47" s="192">
        <f t="shared" si="25"/>
        <v>12.5</v>
      </c>
      <c r="AX47" s="244"/>
      <c r="AY47" s="244"/>
      <c r="AZ47" s="244"/>
      <c r="BC47" s="206" t="s">
        <v>126</v>
      </c>
      <c r="BK47" s="191"/>
      <c r="BL47" s="191"/>
      <c r="BM47" s="192">
        <f t="shared" si="26"/>
        <v>12.5</v>
      </c>
      <c r="BN47" s="244"/>
      <c r="BO47" s="244"/>
      <c r="BP47" s="244"/>
      <c r="BS47" s="206" t="s">
        <v>126</v>
      </c>
      <c r="CA47" s="191"/>
      <c r="CB47" s="191"/>
      <c r="CC47" s="192">
        <f t="shared" si="27"/>
        <v>12.5</v>
      </c>
      <c r="CD47" s="244"/>
      <c r="CE47" s="244"/>
      <c r="CF47" s="244"/>
      <c r="CI47" s="206" t="s">
        <v>126</v>
      </c>
      <c r="CQ47" s="191"/>
      <c r="CR47" s="191"/>
      <c r="CS47" s="192">
        <f t="shared" si="28"/>
        <v>12.5</v>
      </c>
      <c r="CT47" s="244"/>
      <c r="CU47" s="244"/>
      <c r="CV47" s="244"/>
      <c r="CY47" s="206" t="s">
        <v>126</v>
      </c>
      <c r="DG47" s="191"/>
      <c r="DH47" s="191"/>
      <c r="DI47" s="192">
        <f t="shared" si="29"/>
        <v>12.5</v>
      </c>
      <c r="DJ47" s="244"/>
      <c r="DK47" s="244"/>
      <c r="DL47" s="244"/>
      <c r="DO47" s="206" t="s">
        <v>126</v>
      </c>
      <c r="DW47" s="191"/>
      <c r="DX47" s="191"/>
      <c r="DY47" s="192">
        <f t="shared" si="30"/>
        <v>12.5</v>
      </c>
      <c r="DZ47" s="244"/>
      <c r="EA47" s="244"/>
      <c r="EB47" s="244"/>
      <c r="EE47" s="206" t="s">
        <v>126</v>
      </c>
      <c r="EM47" s="191"/>
      <c r="EN47" s="191"/>
      <c r="EO47" s="192">
        <f t="shared" si="31"/>
        <v>12.5</v>
      </c>
      <c r="EP47" s="244"/>
      <c r="EQ47" s="244"/>
      <c r="ER47" s="244"/>
      <c r="EU47" s="206" t="s">
        <v>126</v>
      </c>
      <c r="FC47" s="191"/>
      <c r="FD47" s="191"/>
      <c r="FE47" s="192">
        <f t="shared" si="32"/>
        <v>12.5</v>
      </c>
      <c r="FF47" s="244"/>
      <c r="FG47" s="244"/>
      <c r="FH47" s="244"/>
      <c r="FK47" s="206" t="s">
        <v>126</v>
      </c>
      <c r="FS47" s="191"/>
      <c r="FT47" s="191"/>
      <c r="FU47" s="192">
        <f t="shared" si="33"/>
        <v>12.5</v>
      </c>
      <c r="FV47" s="244"/>
      <c r="FW47" s="244"/>
      <c r="FX47" s="244"/>
      <c r="GA47" s="206" t="s">
        <v>126</v>
      </c>
      <c r="GI47" s="191"/>
      <c r="GJ47" s="191"/>
      <c r="GK47" s="192">
        <f t="shared" si="34"/>
        <v>12.5</v>
      </c>
      <c r="GL47" s="244"/>
      <c r="GM47" s="244"/>
      <c r="GN47" s="244"/>
      <c r="GQ47" s="206" t="s">
        <v>126</v>
      </c>
      <c r="GY47" s="191"/>
      <c r="GZ47" s="191"/>
      <c r="HA47" s="192">
        <f t="shared" si="35"/>
        <v>12.5</v>
      </c>
      <c r="HB47" s="244"/>
      <c r="HC47" s="244"/>
      <c r="HD47" s="244"/>
      <c r="HF47" s="172"/>
      <c r="HG47" s="172"/>
      <c r="HH47" s="172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68" customFormat="1" ht="12.75" x14ac:dyDescent="0.2">
      <c r="A48" s="869"/>
      <c r="B48" s="294">
        <f>Data!C92</f>
        <v>0</v>
      </c>
      <c r="C48" s="162"/>
      <c r="D48" s="162"/>
      <c r="E48" s="162"/>
      <c r="F48" s="162"/>
      <c r="G48" s="162"/>
      <c r="H48" s="162"/>
      <c r="I48" s="162"/>
      <c r="J48" s="162"/>
      <c r="K48" s="162"/>
      <c r="L48" s="163"/>
      <c r="M48" s="184">
        <f>IF(D36=0,0,(Data!E92*Data!H92))</f>
        <v>0</v>
      </c>
      <c r="N48" s="248"/>
      <c r="O48" s="248"/>
      <c r="P48" s="248"/>
      <c r="Q48" s="912"/>
      <c r="R48" s="913"/>
      <c r="S48" s="167"/>
      <c r="V48" s="206" t="s">
        <v>425</v>
      </c>
      <c r="AD48" s="191"/>
      <c r="AE48" s="191"/>
      <c r="AF48" s="192">
        <f t="shared" si="24"/>
        <v>9.9266500000000022</v>
      </c>
      <c r="AG48" s="244"/>
      <c r="AH48" s="244"/>
      <c r="AI48" s="244"/>
      <c r="AL48" s="169"/>
      <c r="AM48" s="206" t="s">
        <v>425</v>
      </c>
      <c r="AU48" s="191"/>
      <c r="AV48" s="191"/>
      <c r="AW48" s="192">
        <f t="shared" si="25"/>
        <v>9.9266500000000022</v>
      </c>
      <c r="AX48" s="244"/>
      <c r="AY48" s="244"/>
      <c r="AZ48" s="244"/>
      <c r="BC48" s="206" t="s">
        <v>425</v>
      </c>
      <c r="BK48" s="191"/>
      <c r="BL48" s="191"/>
      <c r="BM48" s="192">
        <f t="shared" si="26"/>
        <v>9.9266500000000022</v>
      </c>
      <c r="BN48" s="244"/>
      <c r="BO48" s="244"/>
      <c r="BP48" s="244"/>
      <c r="BS48" s="206" t="s">
        <v>425</v>
      </c>
      <c r="CA48" s="191"/>
      <c r="CB48" s="191"/>
      <c r="CC48" s="192">
        <f t="shared" si="27"/>
        <v>9.9266500000000022</v>
      </c>
      <c r="CD48" s="244"/>
      <c r="CE48" s="244"/>
      <c r="CF48" s="244"/>
      <c r="CI48" s="206" t="s">
        <v>425</v>
      </c>
      <c r="CQ48" s="191"/>
      <c r="CR48" s="191"/>
      <c r="CS48" s="192">
        <f t="shared" si="28"/>
        <v>9.9266500000000022</v>
      </c>
      <c r="CT48" s="244"/>
      <c r="CU48" s="244"/>
      <c r="CV48" s="244"/>
      <c r="CY48" s="206" t="s">
        <v>425</v>
      </c>
      <c r="DG48" s="191"/>
      <c r="DH48" s="191"/>
      <c r="DI48" s="192">
        <f t="shared" si="29"/>
        <v>9.9266500000000022</v>
      </c>
      <c r="DJ48" s="244"/>
      <c r="DK48" s="244"/>
      <c r="DL48" s="244"/>
      <c r="DO48" s="206" t="s">
        <v>425</v>
      </c>
      <c r="DW48" s="191"/>
      <c r="DX48" s="191"/>
      <c r="DY48" s="192">
        <f t="shared" si="30"/>
        <v>9.9266500000000022</v>
      </c>
      <c r="DZ48" s="244"/>
      <c r="EA48" s="244"/>
      <c r="EB48" s="244"/>
      <c r="EE48" s="206" t="s">
        <v>425</v>
      </c>
      <c r="EM48" s="191"/>
      <c r="EN48" s="191"/>
      <c r="EO48" s="192">
        <f t="shared" si="31"/>
        <v>9.9266500000000022</v>
      </c>
      <c r="EP48" s="244"/>
      <c r="EQ48" s="244"/>
      <c r="ER48" s="244"/>
      <c r="EU48" s="206" t="s">
        <v>425</v>
      </c>
      <c r="FC48" s="191"/>
      <c r="FD48" s="191"/>
      <c r="FE48" s="192">
        <f t="shared" si="32"/>
        <v>9.9266500000000022</v>
      </c>
      <c r="FF48" s="244"/>
      <c r="FG48" s="244"/>
      <c r="FH48" s="244"/>
      <c r="FK48" s="206" t="s">
        <v>425</v>
      </c>
      <c r="FS48" s="191"/>
      <c r="FT48" s="191"/>
      <c r="FU48" s="192">
        <f t="shared" si="33"/>
        <v>9.9266500000000022</v>
      </c>
      <c r="FV48" s="244"/>
      <c r="FW48" s="244"/>
      <c r="FX48" s="244"/>
      <c r="GA48" s="206" t="s">
        <v>425</v>
      </c>
      <c r="GI48" s="191"/>
      <c r="GJ48" s="191"/>
      <c r="GK48" s="192">
        <f t="shared" si="34"/>
        <v>9.9266500000000022</v>
      </c>
      <c r="GL48" s="244"/>
      <c r="GM48" s="244"/>
      <c r="GN48" s="244"/>
      <c r="GQ48" s="206" t="s">
        <v>425</v>
      </c>
      <c r="GY48" s="191"/>
      <c r="GZ48" s="191"/>
      <c r="HA48" s="192">
        <f t="shared" si="35"/>
        <v>9.9266500000000022</v>
      </c>
      <c r="HB48" s="244"/>
      <c r="HC48" s="244"/>
      <c r="HD48" s="244"/>
      <c r="HF48" s="172"/>
      <c r="HG48" s="172"/>
      <c r="HH48" s="172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68" customFormat="1" ht="12.75" x14ac:dyDescent="0.2">
      <c r="A49" s="869"/>
      <c r="B49" s="294">
        <f>Data!C93</f>
        <v>0</v>
      </c>
      <c r="C49" s="162"/>
      <c r="D49" s="162"/>
      <c r="E49" s="162"/>
      <c r="F49" s="162"/>
      <c r="G49" s="162"/>
      <c r="H49" s="162"/>
      <c r="I49" s="162"/>
      <c r="J49" s="162"/>
      <c r="K49" s="162"/>
      <c r="L49" s="163"/>
      <c r="M49" s="184">
        <f>IF(D36=0,0,(Data!E93*Data!H93))</f>
        <v>0</v>
      </c>
      <c r="N49" s="248"/>
      <c r="O49" s="248"/>
      <c r="P49" s="248"/>
      <c r="Q49" s="912"/>
      <c r="R49" s="913"/>
      <c r="S49" s="167"/>
      <c r="V49" s="206" t="s">
        <v>426</v>
      </c>
      <c r="AD49" s="191"/>
      <c r="AE49" s="191"/>
      <c r="AF49" s="192">
        <f t="shared" si="24"/>
        <v>180</v>
      </c>
      <c r="AG49" s="244"/>
      <c r="AH49" s="244"/>
      <c r="AI49" s="244"/>
      <c r="AL49" s="169"/>
      <c r="AM49" s="206" t="s">
        <v>426</v>
      </c>
      <c r="AU49" s="191"/>
      <c r="AV49" s="191"/>
      <c r="AW49" s="192">
        <f t="shared" si="25"/>
        <v>180</v>
      </c>
      <c r="AX49" s="244"/>
      <c r="AY49" s="244"/>
      <c r="AZ49" s="244"/>
      <c r="BC49" s="206" t="s">
        <v>426</v>
      </c>
      <c r="BK49" s="191"/>
      <c r="BL49" s="191"/>
      <c r="BM49" s="192">
        <f t="shared" si="26"/>
        <v>180</v>
      </c>
      <c r="BN49" s="244"/>
      <c r="BO49" s="244"/>
      <c r="BP49" s="244"/>
      <c r="BS49" s="206" t="s">
        <v>426</v>
      </c>
      <c r="CA49" s="191"/>
      <c r="CB49" s="191"/>
      <c r="CC49" s="192">
        <f t="shared" si="27"/>
        <v>180</v>
      </c>
      <c r="CD49" s="244"/>
      <c r="CE49" s="244"/>
      <c r="CF49" s="244"/>
      <c r="CI49" s="206" t="s">
        <v>426</v>
      </c>
      <c r="CQ49" s="191"/>
      <c r="CR49" s="191"/>
      <c r="CS49" s="192">
        <f t="shared" si="28"/>
        <v>180</v>
      </c>
      <c r="CT49" s="244"/>
      <c r="CU49" s="244"/>
      <c r="CV49" s="244"/>
      <c r="CY49" s="206" t="s">
        <v>426</v>
      </c>
      <c r="DG49" s="191"/>
      <c r="DH49" s="191"/>
      <c r="DI49" s="192">
        <f t="shared" si="29"/>
        <v>180</v>
      </c>
      <c r="DJ49" s="244"/>
      <c r="DK49" s="244"/>
      <c r="DL49" s="244"/>
      <c r="DO49" s="206" t="s">
        <v>426</v>
      </c>
      <c r="DW49" s="191"/>
      <c r="DX49" s="191"/>
      <c r="DY49" s="192">
        <f t="shared" si="30"/>
        <v>180</v>
      </c>
      <c r="DZ49" s="244"/>
      <c r="EA49" s="244"/>
      <c r="EB49" s="244"/>
      <c r="EE49" s="206" t="s">
        <v>426</v>
      </c>
      <c r="EM49" s="191"/>
      <c r="EN49" s="191"/>
      <c r="EO49" s="192">
        <f t="shared" si="31"/>
        <v>180</v>
      </c>
      <c r="EP49" s="244"/>
      <c r="EQ49" s="244"/>
      <c r="ER49" s="244"/>
      <c r="EU49" s="206" t="s">
        <v>426</v>
      </c>
      <c r="FC49" s="191"/>
      <c r="FD49" s="191"/>
      <c r="FE49" s="192">
        <f t="shared" si="32"/>
        <v>180</v>
      </c>
      <c r="FF49" s="244"/>
      <c r="FG49" s="244"/>
      <c r="FH49" s="244"/>
      <c r="FK49" s="206" t="s">
        <v>426</v>
      </c>
      <c r="FS49" s="191"/>
      <c r="FT49" s="191"/>
      <c r="FU49" s="192">
        <f t="shared" si="33"/>
        <v>180</v>
      </c>
      <c r="FV49" s="244"/>
      <c r="FW49" s="244"/>
      <c r="FX49" s="244"/>
      <c r="GA49" s="206" t="s">
        <v>426</v>
      </c>
      <c r="GI49" s="191"/>
      <c r="GJ49" s="191"/>
      <c r="GK49" s="192">
        <f t="shared" si="34"/>
        <v>180</v>
      </c>
      <c r="GL49" s="244"/>
      <c r="GM49" s="244"/>
      <c r="GN49" s="244"/>
      <c r="GQ49" s="206" t="s">
        <v>426</v>
      </c>
      <c r="GY49" s="191"/>
      <c r="GZ49" s="191"/>
      <c r="HA49" s="192">
        <f t="shared" si="35"/>
        <v>180</v>
      </c>
      <c r="HB49" s="244"/>
      <c r="HC49" s="244"/>
      <c r="HD49" s="244"/>
      <c r="HF49" s="172"/>
      <c r="HG49" s="172"/>
      <c r="HH49" s="172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272" customFormat="1" ht="12.75" x14ac:dyDescent="0.2">
      <c r="A50" s="869"/>
      <c r="B50" s="202" t="s">
        <v>420</v>
      </c>
      <c r="C50" s="162"/>
      <c r="D50" s="162"/>
      <c r="E50" s="162"/>
      <c r="F50" s="162"/>
      <c r="G50" s="162"/>
      <c r="H50" s="162"/>
      <c r="I50" s="162"/>
      <c r="J50" s="162"/>
      <c r="K50" s="162"/>
      <c r="L50" s="163"/>
      <c r="M50" s="184">
        <f>IF(D36=0,0,(Data!E96*Data!F96)+(Data!E97*Data!F97))</f>
        <v>18</v>
      </c>
      <c r="N50" s="248"/>
      <c r="O50" s="248"/>
      <c r="P50" s="248"/>
      <c r="Q50" s="912"/>
      <c r="R50" s="913"/>
      <c r="S50" s="167"/>
      <c r="T50" s="168"/>
      <c r="U50" s="168"/>
      <c r="V50" s="271" t="s">
        <v>427</v>
      </c>
      <c r="AD50" s="274"/>
      <c r="AE50" s="274"/>
      <c r="AF50" s="280"/>
      <c r="AG50" s="281">
        <f>IF(AB5=0,0,(AF44+AF45+AF46+AF47+AF48+AF49)/AB5*100)</f>
        <v>194.22982500000001</v>
      </c>
      <c r="AH50" s="281">
        <f>IF(AB6=0,0,(AF44+AF45+AF46+AF47+AF48+AF49)/AB6*100)</f>
        <v>194.22982500000001</v>
      </c>
      <c r="AI50" s="281">
        <f>IF(AB7=0,0,(AF44+AF45+AF46+AF47+AF48+AF49)/AB7*100)*Data!E123</f>
        <v>116.53789499999999</v>
      </c>
      <c r="AJ50" s="168"/>
      <c r="AK50" s="168"/>
      <c r="AL50" s="169"/>
      <c r="AM50" s="271" t="s">
        <v>427</v>
      </c>
      <c r="AU50" s="274"/>
      <c r="AV50" s="274"/>
      <c r="AW50" s="280"/>
      <c r="AX50" s="281">
        <f>IF(AS5=0,0,(AW44+AW45+AW46+AW47+AW48+AW49)/AS5*100)</f>
        <v>172.64873333333335</v>
      </c>
      <c r="AY50" s="281">
        <f>IF(AS6=0,0,(AW44+AW45+AW46+AW47+AW48+AW49)/AS6*100)</f>
        <v>172.64873333333335</v>
      </c>
      <c r="AZ50" s="281">
        <f>IF(AS7=0,0,(AW44+AW45+AW46+AW47+AW48+AW49)/AS7*100)*Data!E123</f>
        <v>103.58924</v>
      </c>
      <c r="BA50" s="168"/>
      <c r="BB50" s="168"/>
      <c r="BC50" s="271" t="s">
        <v>427</v>
      </c>
      <c r="BK50" s="274"/>
      <c r="BL50" s="274"/>
      <c r="BM50" s="280"/>
      <c r="BN50" s="281">
        <f>IF(BI5=0,0,(BM44+BM45+BM46+BM47+BM48+BM49)/BI5*100)</f>
        <v>155.38386</v>
      </c>
      <c r="BO50" s="281">
        <f>IF(BI6=0,0,(BM44+BM45+BM46+BM47+BM48+BM49)/BI6*100)</f>
        <v>155.38386</v>
      </c>
      <c r="BP50" s="281">
        <f>IF(BI7=0,0,(BM44+BM45+BM46+BM47+BM48+BM49)/BI7*100)*Data!E123</f>
        <v>93.230316000000002</v>
      </c>
      <c r="BQ50" s="168"/>
      <c r="BR50" s="168"/>
      <c r="BS50" s="271" t="s">
        <v>427</v>
      </c>
      <c r="CA50" s="274"/>
      <c r="CB50" s="274"/>
      <c r="CC50" s="280"/>
      <c r="CD50" s="281">
        <f>IF(BY5=0,0,(CC44+CC45+CC46+CC47+CC48+CC49)/BY5*100)</f>
        <v>141.25805454545454</v>
      </c>
      <c r="CE50" s="281">
        <f>IF(BY6=0,0,(CC44+CC45+CC46+CC47+CC48+CC49)/BY6*100)</f>
        <v>141.25805454545454</v>
      </c>
      <c r="CF50" s="281">
        <f>IF(BY7=0,0,(CC44+CC45+CC46+CC47+CC48+CC49)/BY7*100)*Data!E123</f>
        <v>84.754832727272728</v>
      </c>
      <c r="CG50" s="168"/>
      <c r="CH50" s="168"/>
      <c r="CI50" s="271" t="s">
        <v>427</v>
      </c>
      <c r="CQ50" s="274"/>
      <c r="CR50" s="274"/>
      <c r="CS50" s="280"/>
      <c r="CT50" s="281">
        <f>IF(CO5=0,0,(CS44+CS45+CS46+CS47+CS48+CS49)/CO5*100)</f>
        <v>129.48654999999999</v>
      </c>
      <c r="CU50" s="281">
        <f>IF(CO6=0,0,(CS44+CS45+CS46+CS47+CS48+CS49)/CO6*100)</f>
        <v>129.48654999999999</v>
      </c>
      <c r="CV50" s="281">
        <f>IF(CO7=0,0,(CS44+CS45+CS46+CS47+CS48+CS49)/CO7*100)*Data!E123</f>
        <v>77.691929999999999</v>
      </c>
      <c r="CW50" s="168"/>
      <c r="CX50" s="168"/>
      <c r="CY50" s="271" t="s">
        <v>427</v>
      </c>
      <c r="DG50" s="274"/>
      <c r="DH50" s="274"/>
      <c r="DI50" s="280"/>
      <c r="DJ50" s="281">
        <f>IF(DE5=0,0,(DI44+DI45+DI46+DI47+DI48+DI49)/DE5*100)</f>
        <v>119.52604615384617</v>
      </c>
      <c r="DK50" s="281">
        <f>IF(DE6=0,0,(DI44+DI45+DI46+DI47+DI48+DI49)/DE6*100)</f>
        <v>119.52604615384617</v>
      </c>
      <c r="DL50" s="281">
        <f>IF(DE7=0,0,(DI44+DI45+DI46+DI47+DI48+DI49)/DE7*100)*Data!E123</f>
        <v>71.715627692307692</v>
      </c>
      <c r="DM50" s="168"/>
      <c r="DN50" s="168"/>
      <c r="DO50" s="271" t="s">
        <v>427</v>
      </c>
      <c r="DW50" s="274"/>
      <c r="DX50" s="274"/>
      <c r="DY50" s="280"/>
      <c r="DZ50" s="281">
        <f>IF(DU5=0,0,(DY44+DY45+DY46+DY47+DY48+DY49)/DU5*100)</f>
        <v>110.98847142857142</v>
      </c>
      <c r="EA50" s="281">
        <f>IF(DU6=0,0,(DY44+DY45+DY46+DY47+DY48+DY49)/DU6*100)</f>
        <v>110.98847142857142</v>
      </c>
      <c r="EB50" s="281">
        <f>IF(DU7=0,0,(DY44+DY45+DY46+DY47+DY48+DY49)/DU7*100)*Data!E123</f>
        <v>66.593082857142846</v>
      </c>
      <c r="EC50" s="168"/>
      <c r="ED50" s="168"/>
      <c r="EE50" s="271" t="s">
        <v>427</v>
      </c>
      <c r="EM50" s="274"/>
      <c r="EN50" s="274"/>
      <c r="EO50" s="280"/>
      <c r="EP50" s="281">
        <f>IF(EK5=0,0,(EO44+EO45+EO46+EO47+EO48+EO49)/EK5*100)</f>
        <v>103.58924</v>
      </c>
      <c r="EQ50" s="281">
        <f>IF(EK6=0,0,(EO44+EO45+EO46+EO47+EO48+EO49)/EK6*100)</f>
        <v>103.58924</v>
      </c>
      <c r="ER50" s="281">
        <f>IF(EK7=0,0,(EO44+EO45+EO46+EO47+EO48+EO49)/EK7*100)*Data!E123</f>
        <v>62.153543999999997</v>
      </c>
      <c r="ES50" s="168"/>
      <c r="ET50" s="168"/>
      <c r="EU50" s="271" t="s">
        <v>427</v>
      </c>
      <c r="FC50" s="274"/>
      <c r="FD50" s="274"/>
      <c r="FE50" s="280"/>
      <c r="FF50" s="281">
        <f>IF(FA5=0,0,(FE44+FE45+FE46+FE47+FE48+FE49)/FA5*100)</f>
        <v>97.114912500000003</v>
      </c>
      <c r="FG50" s="281">
        <f>IF(FA6=0,0,(FE44+FE45+FE46+FE47+FE48+FE49)/FA6*100)</f>
        <v>97.114912500000003</v>
      </c>
      <c r="FH50" s="281">
        <f>IF(FA7=0,0,(FE44+FE45+FE46+FE47+FE48+FE49)/FA7*100)*Data!E123</f>
        <v>58.268947499999996</v>
      </c>
      <c r="FI50" s="168"/>
      <c r="FJ50" s="168"/>
      <c r="FK50" s="271" t="s">
        <v>427</v>
      </c>
      <c r="FS50" s="274"/>
      <c r="FT50" s="274"/>
      <c r="FU50" s="280"/>
      <c r="FV50" s="281">
        <f>IF(FQ5=0,0,(FU44+FU45+FU46+FU47+FU48+FU49)/FQ5*100)</f>
        <v>91.402270588235297</v>
      </c>
      <c r="FW50" s="281">
        <f>IF(FQ6=0,0,(FU44+FU45+FU46+FU47+FU48+FU49)/FQ6*100)</f>
        <v>91.402270588235297</v>
      </c>
      <c r="FX50" s="281">
        <f>IF(FQ7=0,0,(FU44+FU45+FU46+FU47+FU48+FU49)/FQ7*100)*Data!E123</f>
        <v>54.841362352941175</v>
      </c>
      <c r="FY50" s="168"/>
      <c r="FZ50" s="168"/>
      <c r="GA50" s="271" t="s">
        <v>427</v>
      </c>
      <c r="GI50" s="274"/>
      <c r="GJ50" s="274"/>
      <c r="GK50" s="280"/>
      <c r="GL50" s="281">
        <f>IF(GG5=0,0,(GK44+GK45+GK46+GK47+GK48+GK49)/GG5*100)</f>
        <v>86.324366666666677</v>
      </c>
      <c r="GM50" s="281">
        <f>IF(GG6=0,0,(GK44+GK45+GK46+GK47+GK48+GK49)/GG6*100)</f>
        <v>86.324366666666677</v>
      </c>
      <c r="GN50" s="281">
        <f>IF(GG7=0,0,(GK44+GK45+GK46+GK47+GK48+GK49)/GG7*100)*Data!E123</f>
        <v>51.794620000000002</v>
      </c>
      <c r="GO50" s="168"/>
      <c r="GP50" s="168"/>
      <c r="GQ50" s="271" t="s">
        <v>427</v>
      </c>
      <c r="GY50" s="274"/>
      <c r="GZ50" s="274"/>
      <c r="HA50" s="280"/>
      <c r="HB50" s="281">
        <f>IF(GW5=0,0,(HA44+HA45+HA46+HA47+HA48+HA49)/GW5*100)</f>
        <v>81.780978947368425</v>
      </c>
      <c r="HC50" s="281">
        <f>IF(GW6=0,0,(HA44+HA45+HA46+HA47+HA48+HA49)/GW6*100)</f>
        <v>81.780978947368425</v>
      </c>
      <c r="HD50" s="281">
        <f>IF(GW7=0,0,(HA44+HA45+HA46+HA47+HA48+HA49)/GW7*100)*Data!E123</f>
        <v>49.068587368421056</v>
      </c>
      <c r="HE50" s="168"/>
      <c r="HF50" s="172"/>
      <c r="HG50" s="172"/>
      <c r="HH50" s="172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215" customFormat="1" ht="12.75" x14ac:dyDescent="0.2">
      <c r="A51" s="869"/>
      <c r="B51" s="257" t="s">
        <v>421</v>
      </c>
      <c r="C51" s="258"/>
      <c r="D51" s="258"/>
      <c r="E51" s="258"/>
      <c r="F51" s="258"/>
      <c r="G51" s="258"/>
      <c r="H51" s="258"/>
      <c r="I51" s="258"/>
      <c r="J51" s="258"/>
      <c r="K51" s="295">
        <f>SUM(M42:M50)</f>
        <v>240.76</v>
      </c>
      <c r="L51" s="163"/>
      <c r="M51" s="202">
        <f>SUM(M42:M50)</f>
        <v>240.76</v>
      </c>
      <c r="N51" s="292">
        <f>IF(H5=0,0,(K51/H5)*100)</f>
        <v>0</v>
      </c>
      <c r="O51" s="292">
        <f>IF(H6=0,0,(K51/H6)*100)</f>
        <v>0</v>
      </c>
      <c r="P51" s="292">
        <f>IF(H7=0,0,(K51/H7)*100)*Data!E94</f>
        <v>0</v>
      </c>
      <c r="Q51" s="912"/>
      <c r="R51" s="913"/>
      <c r="S51" s="167"/>
      <c r="T51" s="168"/>
      <c r="U51" s="168"/>
      <c r="V51" s="229" t="s">
        <v>131</v>
      </c>
      <c r="AD51" s="233"/>
      <c r="AE51" s="233"/>
      <c r="AF51" s="296">
        <f>$M60</f>
        <v>32</v>
      </c>
      <c r="AG51" s="297">
        <f>IF(AB5=0,0,(AF51/AB5*100))</f>
        <v>16</v>
      </c>
      <c r="AH51" s="297">
        <f>IF(AB6=0,0,(AF51/AB6*100))</f>
        <v>16</v>
      </c>
      <c r="AI51" s="297">
        <f>IF(AB7=0,0,(AF51/AB7*100))</f>
        <v>16</v>
      </c>
      <c r="AJ51" s="168"/>
      <c r="AK51" s="168"/>
      <c r="AL51" s="169"/>
      <c r="AM51" s="229" t="s">
        <v>131</v>
      </c>
      <c r="AU51" s="233"/>
      <c r="AV51" s="233"/>
      <c r="AW51" s="296">
        <f>$M60</f>
        <v>32</v>
      </c>
      <c r="AX51" s="297">
        <f>IF(AS5=0,0,(AW51/AS5*100))</f>
        <v>14.222222222222221</v>
      </c>
      <c r="AY51" s="297">
        <f>IF(AS6=0,0,(AW51/AS6*100))</f>
        <v>14.222222222222221</v>
      </c>
      <c r="AZ51" s="297">
        <f>IF(AS7=0,0,(AW51/AS7*100))</f>
        <v>14.222222222222221</v>
      </c>
      <c r="BA51" s="168"/>
      <c r="BB51" s="168"/>
      <c r="BC51" s="229" t="s">
        <v>131</v>
      </c>
      <c r="BK51" s="233"/>
      <c r="BL51" s="233"/>
      <c r="BM51" s="296">
        <f>$M60</f>
        <v>32</v>
      </c>
      <c r="BN51" s="297">
        <f>IF(BI5=0,0,(BM51/BI5*100))</f>
        <v>12.8</v>
      </c>
      <c r="BO51" s="297">
        <f>IF(BI6=0,0,(BM51/BI6*100))</f>
        <v>12.8</v>
      </c>
      <c r="BP51" s="297">
        <f>IF(BI7=0,0,(BM51/BI7*100))</f>
        <v>12.8</v>
      </c>
      <c r="BQ51" s="168"/>
      <c r="BR51" s="168"/>
      <c r="BS51" s="229" t="s">
        <v>131</v>
      </c>
      <c r="CA51" s="233"/>
      <c r="CB51" s="233"/>
      <c r="CC51" s="296">
        <f>$M60</f>
        <v>32</v>
      </c>
      <c r="CD51" s="297">
        <f>IF(BY5=0,0,(CC51/BY5*100))</f>
        <v>11.636363636363637</v>
      </c>
      <c r="CE51" s="297">
        <f>IF(BY6=0,0,(CC51/BY6*100))</f>
        <v>11.636363636363637</v>
      </c>
      <c r="CF51" s="297">
        <f>IF(BY7=0,0,(CC51/BY7*100))</f>
        <v>11.636363636363637</v>
      </c>
      <c r="CG51" s="168"/>
      <c r="CH51" s="168"/>
      <c r="CI51" s="229" t="s">
        <v>131</v>
      </c>
      <c r="CQ51" s="233"/>
      <c r="CR51" s="233"/>
      <c r="CS51" s="296">
        <f>$M60</f>
        <v>32</v>
      </c>
      <c r="CT51" s="297">
        <f>IF(CO5=0,0,(CS51/CO5*100))</f>
        <v>10.666666666666668</v>
      </c>
      <c r="CU51" s="297">
        <f>IF(CO6=0,0,(CS51/CO6*100))</f>
        <v>10.666666666666668</v>
      </c>
      <c r="CV51" s="297">
        <f>IF(CO7=0,0,(CS51/CO7*100))</f>
        <v>10.666666666666668</v>
      </c>
      <c r="CW51" s="168"/>
      <c r="CX51" s="168"/>
      <c r="CY51" s="229" t="s">
        <v>131</v>
      </c>
      <c r="DG51" s="233"/>
      <c r="DH51" s="233"/>
      <c r="DI51" s="296">
        <f>$M60</f>
        <v>32</v>
      </c>
      <c r="DJ51" s="297">
        <f>IF(DE5=0,0,(DI51/DE5*100))</f>
        <v>9.8461538461538467</v>
      </c>
      <c r="DK51" s="297">
        <f>IF(DE6=0,0,(DI51/DE6*100))</f>
        <v>9.8461538461538467</v>
      </c>
      <c r="DL51" s="297">
        <f>IF(DE7=0,0,(DI51/DE7*100))</f>
        <v>9.8461538461538467</v>
      </c>
      <c r="DM51" s="168"/>
      <c r="DN51" s="168"/>
      <c r="DO51" s="229" t="s">
        <v>131</v>
      </c>
      <c r="DW51" s="233"/>
      <c r="DX51" s="233"/>
      <c r="DY51" s="296">
        <f>$M60</f>
        <v>32</v>
      </c>
      <c r="DZ51" s="297">
        <f>IF(DU5=0,0,(DY51/DU5*100))</f>
        <v>9.1428571428571423</v>
      </c>
      <c r="EA51" s="297">
        <f>IF(DU6=0,0,(DY51/DU6*100))</f>
        <v>9.1428571428571423</v>
      </c>
      <c r="EB51" s="297">
        <f>IF(DU7=0,0,(DY51/DU7*100))</f>
        <v>9.1428571428571423</v>
      </c>
      <c r="EC51" s="168"/>
      <c r="ED51" s="168"/>
      <c r="EE51" s="229" t="s">
        <v>131</v>
      </c>
      <c r="EM51" s="233"/>
      <c r="EN51" s="233"/>
      <c r="EO51" s="296">
        <f>$M60</f>
        <v>32</v>
      </c>
      <c r="EP51" s="297">
        <f>IF(EK5=0,0,(EO51/EK5*100))</f>
        <v>8.5333333333333332</v>
      </c>
      <c r="EQ51" s="297">
        <f>IF(EK6=0,0,(EO51/EK6*100))</f>
        <v>8.5333333333333332</v>
      </c>
      <c r="ER51" s="297">
        <f>IF(EK7=0,0,(EO51/EK7*100))</f>
        <v>8.5333333333333332</v>
      </c>
      <c r="ES51" s="168"/>
      <c r="ET51" s="168"/>
      <c r="EU51" s="229" t="s">
        <v>131</v>
      </c>
      <c r="FC51" s="233"/>
      <c r="FD51" s="233"/>
      <c r="FE51" s="296">
        <f>$M60</f>
        <v>32</v>
      </c>
      <c r="FF51" s="297">
        <f>IF(FA5=0,0,(FE51/FA5*100))</f>
        <v>8</v>
      </c>
      <c r="FG51" s="297">
        <f>IF(FA6=0,0,(FE51/FA6*100))</f>
        <v>8</v>
      </c>
      <c r="FH51" s="297">
        <f>IF(FA7=0,0,(FE51/FA7*100))</f>
        <v>8</v>
      </c>
      <c r="FI51" s="168"/>
      <c r="FJ51" s="168"/>
      <c r="FK51" s="229" t="s">
        <v>131</v>
      </c>
      <c r="FS51" s="233"/>
      <c r="FT51" s="233"/>
      <c r="FU51" s="296">
        <f>$M60</f>
        <v>32</v>
      </c>
      <c r="FV51" s="297">
        <f>IF(FQ5=0,0,(FU51/FQ5*100))</f>
        <v>7.5294117647058814</v>
      </c>
      <c r="FW51" s="297">
        <f>IF(FQ6=0,0,(FU51/FQ6*100))</f>
        <v>7.5294117647058814</v>
      </c>
      <c r="FX51" s="297">
        <f>IF(FQ7=0,0,(FU51/FQ7*100))</f>
        <v>7.5294117647058814</v>
      </c>
      <c r="FY51" s="168"/>
      <c r="FZ51" s="168"/>
      <c r="GA51" s="229" t="s">
        <v>131</v>
      </c>
      <c r="GI51" s="233"/>
      <c r="GJ51" s="233"/>
      <c r="GK51" s="296">
        <f>$M60</f>
        <v>32</v>
      </c>
      <c r="GL51" s="297">
        <f>IF(GG5=0,0,(GK51/GG5*100))</f>
        <v>7.1111111111111107</v>
      </c>
      <c r="GM51" s="297">
        <f>IF(GG6=0,0,(GK51/GG6*100))</f>
        <v>7.1111111111111107</v>
      </c>
      <c r="GN51" s="297">
        <f>IF(GG7=0,0,(GK51/GG7*100))</f>
        <v>7.1111111111111107</v>
      </c>
      <c r="GO51" s="168"/>
      <c r="GP51" s="168"/>
      <c r="GQ51" s="229" t="s">
        <v>131</v>
      </c>
      <c r="GY51" s="233"/>
      <c r="GZ51" s="233"/>
      <c r="HA51" s="296">
        <f>$M60</f>
        <v>32</v>
      </c>
      <c r="HB51" s="297">
        <f>IF(GW5=0,0,(HA51/GW5*100))</f>
        <v>6.7368421052631575</v>
      </c>
      <c r="HC51" s="297">
        <f>IF(GW6=0,0,(HA51/GW6*100))</f>
        <v>6.7368421052631575</v>
      </c>
      <c r="HD51" s="297">
        <f>IF(GW7=0,0,(HA51/GW7*100))</f>
        <v>6.7368421052631575</v>
      </c>
      <c r="HE51" s="168"/>
      <c r="HF51" s="172"/>
      <c r="HG51" s="172"/>
      <c r="HH51" s="172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215" customFormat="1" ht="12.75" x14ac:dyDescent="0.2">
      <c r="A52" s="869"/>
      <c r="B52" s="287" t="s">
        <v>107</v>
      </c>
      <c r="C52" s="179"/>
      <c r="D52" s="179"/>
      <c r="E52" s="179"/>
      <c r="F52" s="179"/>
      <c r="G52" s="179"/>
      <c r="H52" s="179"/>
      <c r="I52" s="179"/>
      <c r="J52" s="288"/>
      <c r="K52" s="288"/>
      <c r="L52" s="174"/>
      <c r="M52" s="289"/>
      <c r="N52" s="290"/>
      <c r="O52" s="290"/>
      <c r="P52" s="290"/>
      <c r="Q52" s="912"/>
      <c r="R52" s="913"/>
      <c r="S52" s="167"/>
      <c r="T52" s="168"/>
      <c r="U52" s="168"/>
      <c r="V52" s="229" t="s">
        <v>137</v>
      </c>
      <c r="AD52" s="233"/>
      <c r="AE52" s="233"/>
      <c r="AF52" s="296">
        <f>$M61</f>
        <v>31.25</v>
      </c>
      <c r="AG52" s="297">
        <f>IF(AB5=0,0,(AF52/AB5*100))</f>
        <v>15.625</v>
      </c>
      <c r="AH52" s="297">
        <f>IF(AB6=0,0,(AF52/AB6*100))</f>
        <v>15.625</v>
      </c>
      <c r="AI52" s="297">
        <f>IF(AB7=0,0,(AF52/AB7*100))</f>
        <v>15.625</v>
      </c>
      <c r="AJ52" s="168"/>
      <c r="AK52" s="168"/>
      <c r="AL52" s="169"/>
      <c r="AM52" s="229" t="s">
        <v>137</v>
      </c>
      <c r="AU52" s="233"/>
      <c r="AV52" s="233"/>
      <c r="AW52" s="296">
        <f>$M61</f>
        <v>31.25</v>
      </c>
      <c r="AX52" s="297">
        <f>IF(AS5=0,0,(AW52/AS5*100))</f>
        <v>13.888888888888889</v>
      </c>
      <c r="AY52" s="297">
        <f>IF(AS6=0,0,(AW52/AS6*100))</f>
        <v>13.888888888888889</v>
      </c>
      <c r="AZ52" s="297">
        <f>IF(AS7=0,0,(AW52/AS7*100))</f>
        <v>13.888888888888889</v>
      </c>
      <c r="BA52" s="168"/>
      <c r="BB52" s="168"/>
      <c r="BC52" s="229" t="s">
        <v>137</v>
      </c>
      <c r="BK52" s="233"/>
      <c r="BL52" s="233"/>
      <c r="BM52" s="296">
        <f>$M61</f>
        <v>31.25</v>
      </c>
      <c r="BN52" s="297">
        <f>IF(BI5=0,0,(BM52/BI5*100))</f>
        <v>12.5</v>
      </c>
      <c r="BO52" s="297">
        <f>IF(BI6=0,0,(BM52/BI6*100))</f>
        <v>12.5</v>
      </c>
      <c r="BP52" s="297">
        <f>IF(BI7=0,0,(BM52/BI7*100))</f>
        <v>12.5</v>
      </c>
      <c r="BQ52" s="168"/>
      <c r="BR52" s="168"/>
      <c r="BS52" s="229" t="s">
        <v>137</v>
      </c>
      <c r="CA52" s="233"/>
      <c r="CB52" s="233"/>
      <c r="CC52" s="296">
        <f>$M61</f>
        <v>31.25</v>
      </c>
      <c r="CD52" s="297">
        <f>IF(BY5=0,0,(CC52/BY5*100))</f>
        <v>11.363636363636363</v>
      </c>
      <c r="CE52" s="297">
        <f>IF(BY6=0,0,(CC52/BY6*100))</f>
        <v>11.363636363636363</v>
      </c>
      <c r="CF52" s="297">
        <f>IF(BY7=0,0,(CC52/BY7*100))</f>
        <v>11.363636363636363</v>
      </c>
      <c r="CG52" s="168"/>
      <c r="CH52" s="168"/>
      <c r="CI52" s="229" t="s">
        <v>137</v>
      </c>
      <c r="CQ52" s="233"/>
      <c r="CR52" s="233"/>
      <c r="CS52" s="296">
        <f>$M61</f>
        <v>31.25</v>
      </c>
      <c r="CT52" s="297">
        <f>IF(CO5=0,0,(CS52/CO5*100))</f>
        <v>10.416666666666668</v>
      </c>
      <c r="CU52" s="297">
        <f>IF(CO6=0,0,(CS52/CO6*100))</f>
        <v>10.416666666666668</v>
      </c>
      <c r="CV52" s="297">
        <f>IF(CO7=0,0,(CS52/CO7*100))</f>
        <v>10.416666666666668</v>
      </c>
      <c r="CW52" s="168"/>
      <c r="CX52" s="168"/>
      <c r="CY52" s="229" t="s">
        <v>137</v>
      </c>
      <c r="DG52" s="233"/>
      <c r="DH52" s="233"/>
      <c r="DI52" s="296">
        <f>$M61</f>
        <v>31.25</v>
      </c>
      <c r="DJ52" s="297">
        <f>IF(DE5=0,0,(DI52/DE5*100))</f>
        <v>9.6153846153846168</v>
      </c>
      <c r="DK52" s="297">
        <f>IF(DE6=0,0,(DI52/DE6*100))</f>
        <v>9.6153846153846168</v>
      </c>
      <c r="DL52" s="297">
        <f>IF(DE7=0,0,(DI52/DE7*100))</f>
        <v>9.6153846153846168</v>
      </c>
      <c r="DM52" s="168"/>
      <c r="DN52" s="168"/>
      <c r="DO52" s="229" t="s">
        <v>137</v>
      </c>
      <c r="DW52" s="233"/>
      <c r="DX52" s="233"/>
      <c r="DY52" s="296">
        <f>$M61</f>
        <v>31.25</v>
      </c>
      <c r="DZ52" s="297">
        <f>IF(DU5=0,0,(DY52/DU5*100))</f>
        <v>8.9285714285714288</v>
      </c>
      <c r="EA52" s="297">
        <f>IF(DU6=0,0,(DY52/DU6*100))</f>
        <v>8.9285714285714288</v>
      </c>
      <c r="EB52" s="297">
        <f>IF(DU7=0,0,(DY52/DU7*100))</f>
        <v>8.9285714285714288</v>
      </c>
      <c r="EC52" s="168"/>
      <c r="ED52" s="168"/>
      <c r="EE52" s="229" t="s">
        <v>137</v>
      </c>
      <c r="EM52" s="233"/>
      <c r="EN52" s="233"/>
      <c r="EO52" s="296">
        <f>$M61</f>
        <v>31.25</v>
      </c>
      <c r="EP52" s="297">
        <f>IF(EK5=0,0,(EO52/EK5*100))</f>
        <v>8.3333333333333321</v>
      </c>
      <c r="EQ52" s="297">
        <f>IF(EK6=0,0,(EO52/EK6*100))</f>
        <v>8.3333333333333321</v>
      </c>
      <c r="ER52" s="297">
        <f>IF(EK7=0,0,(EO52/EK7*100))</f>
        <v>8.3333333333333321</v>
      </c>
      <c r="ES52" s="168"/>
      <c r="ET52" s="168"/>
      <c r="EU52" s="229" t="s">
        <v>137</v>
      </c>
      <c r="FC52" s="233"/>
      <c r="FD52" s="233"/>
      <c r="FE52" s="296">
        <f>$M61</f>
        <v>31.25</v>
      </c>
      <c r="FF52" s="297">
        <f>IF(FA5=0,0,(FE52/FA5*100))</f>
        <v>7.8125</v>
      </c>
      <c r="FG52" s="297">
        <f>IF(FA6=0,0,(FE52/FA6*100))</f>
        <v>7.8125</v>
      </c>
      <c r="FH52" s="297">
        <f>IF(FA7=0,0,(FE52/FA7*100))</f>
        <v>7.8125</v>
      </c>
      <c r="FI52" s="168"/>
      <c r="FJ52" s="168"/>
      <c r="FK52" s="229" t="s">
        <v>137</v>
      </c>
      <c r="FS52" s="233"/>
      <c r="FT52" s="233"/>
      <c r="FU52" s="296">
        <f>$M61</f>
        <v>31.25</v>
      </c>
      <c r="FV52" s="297">
        <f>IF(FQ5=0,0,(FU52/FQ5*100))</f>
        <v>7.3529411764705888</v>
      </c>
      <c r="FW52" s="297">
        <f>IF(FQ6=0,0,(FU52/FQ6*100))</f>
        <v>7.3529411764705888</v>
      </c>
      <c r="FX52" s="297">
        <f>IF(FQ7=0,0,(FU52/FQ7*100))</f>
        <v>7.3529411764705888</v>
      </c>
      <c r="FY52" s="168"/>
      <c r="FZ52" s="168"/>
      <c r="GA52" s="229" t="s">
        <v>137</v>
      </c>
      <c r="GI52" s="233"/>
      <c r="GJ52" s="233"/>
      <c r="GK52" s="296">
        <f>$M61</f>
        <v>31.25</v>
      </c>
      <c r="GL52" s="297">
        <f>IF(GG5=0,0,(GK52/GG5*100))</f>
        <v>6.9444444444444446</v>
      </c>
      <c r="GM52" s="297">
        <f>IF(GG6=0,0,(GK52/GG6*100))</f>
        <v>6.9444444444444446</v>
      </c>
      <c r="GN52" s="297">
        <f>IF(GG7=0,0,(GK52/GG7*100))</f>
        <v>6.9444444444444446</v>
      </c>
      <c r="GO52" s="168"/>
      <c r="GP52" s="168"/>
      <c r="GQ52" s="229" t="s">
        <v>137</v>
      </c>
      <c r="GY52" s="233"/>
      <c r="GZ52" s="233"/>
      <c r="HA52" s="296">
        <f>$M61</f>
        <v>31.25</v>
      </c>
      <c r="HB52" s="297">
        <f>IF(GW5=0,0,(HA52/GW5*100))</f>
        <v>6.5789473684210522</v>
      </c>
      <c r="HC52" s="297">
        <f>IF(GW6=0,0,(HA52/GW6*100))</f>
        <v>6.5789473684210522</v>
      </c>
      <c r="HD52" s="297">
        <f>IF(GW7=0,0,(HA52/GW7*100))</f>
        <v>6.5789473684210522</v>
      </c>
      <c r="HE52" s="168"/>
      <c r="HF52" s="172"/>
      <c r="HG52" s="172"/>
      <c r="HH52" s="17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187" customFormat="1" ht="12.75" x14ac:dyDescent="0.2">
      <c r="A53" s="869"/>
      <c r="B53" s="202" t="s">
        <v>422</v>
      </c>
      <c r="C53" s="162"/>
      <c r="D53" s="162"/>
      <c r="E53" s="162"/>
      <c r="F53" s="162"/>
      <c r="G53" s="162"/>
      <c r="H53" s="162"/>
      <c r="I53" s="162"/>
      <c r="J53" s="183"/>
      <c r="K53" s="183"/>
      <c r="L53" s="163"/>
      <c r="M53" s="184">
        <f>IF(D36=0,0,((Data!G100*Data!H100)+(Data!G101*Data!H101)+(Data!G102*Data!H102)+(Data!G103*Data!H103)+(Data!G104*Data!H104)+(Data!G105*Data!H105)))</f>
        <v>72.727999999999994</v>
      </c>
      <c r="N53" s="248"/>
      <c r="O53" s="248"/>
      <c r="P53" s="248"/>
      <c r="Q53" s="912"/>
      <c r="R53" s="913"/>
      <c r="S53" s="167"/>
      <c r="T53" s="168"/>
      <c r="U53" s="168"/>
      <c r="V53" s="276" t="s">
        <v>141</v>
      </c>
      <c r="AD53" s="277"/>
      <c r="AE53" s="277"/>
      <c r="AF53" s="278"/>
      <c r="AG53" s="279"/>
      <c r="AH53" s="279"/>
      <c r="AI53" s="279"/>
      <c r="AJ53" s="168"/>
      <c r="AK53" s="168"/>
      <c r="AL53" s="169"/>
      <c r="AM53" s="276" t="s">
        <v>141</v>
      </c>
      <c r="AU53" s="277"/>
      <c r="AV53" s="277"/>
      <c r="AW53" s="278"/>
      <c r="AX53" s="279"/>
      <c r="AY53" s="279"/>
      <c r="AZ53" s="279"/>
      <c r="BA53" s="168"/>
      <c r="BB53" s="168"/>
      <c r="BC53" s="276" t="s">
        <v>141</v>
      </c>
      <c r="BK53" s="277"/>
      <c r="BL53" s="277"/>
      <c r="BM53" s="278"/>
      <c r="BN53" s="279"/>
      <c r="BO53" s="279"/>
      <c r="BP53" s="279"/>
      <c r="BQ53" s="168"/>
      <c r="BR53" s="168"/>
      <c r="BS53" s="276" t="s">
        <v>141</v>
      </c>
      <c r="CA53" s="277"/>
      <c r="CB53" s="277"/>
      <c r="CC53" s="278"/>
      <c r="CD53" s="279"/>
      <c r="CE53" s="279"/>
      <c r="CF53" s="279"/>
      <c r="CG53" s="168"/>
      <c r="CH53" s="168"/>
      <c r="CI53" s="276" t="s">
        <v>141</v>
      </c>
      <c r="CQ53" s="277"/>
      <c r="CR53" s="277"/>
      <c r="CS53" s="278"/>
      <c r="CT53" s="279"/>
      <c r="CU53" s="279"/>
      <c r="CV53" s="279"/>
      <c r="CW53" s="168"/>
      <c r="CX53" s="168"/>
      <c r="CY53" s="276" t="s">
        <v>141</v>
      </c>
      <c r="DG53" s="277"/>
      <c r="DH53" s="277"/>
      <c r="DI53" s="278"/>
      <c r="DJ53" s="279"/>
      <c r="DK53" s="279"/>
      <c r="DL53" s="279"/>
      <c r="DM53" s="168"/>
      <c r="DN53" s="168"/>
      <c r="DO53" s="276" t="s">
        <v>141</v>
      </c>
      <c r="DW53" s="277"/>
      <c r="DX53" s="277"/>
      <c r="DY53" s="278"/>
      <c r="DZ53" s="279"/>
      <c r="EA53" s="279"/>
      <c r="EB53" s="279"/>
      <c r="EC53" s="168"/>
      <c r="ED53" s="168"/>
      <c r="EE53" s="276" t="s">
        <v>141</v>
      </c>
      <c r="EM53" s="277"/>
      <c r="EN53" s="277"/>
      <c r="EO53" s="278"/>
      <c r="EP53" s="279"/>
      <c r="EQ53" s="279"/>
      <c r="ER53" s="279"/>
      <c r="ES53" s="168"/>
      <c r="ET53" s="168"/>
      <c r="EU53" s="276" t="s">
        <v>141</v>
      </c>
      <c r="FC53" s="277"/>
      <c r="FD53" s="277"/>
      <c r="FE53" s="278"/>
      <c r="FF53" s="279"/>
      <c r="FG53" s="279"/>
      <c r="FH53" s="279"/>
      <c r="FI53" s="168"/>
      <c r="FJ53" s="168"/>
      <c r="FK53" s="276" t="s">
        <v>141</v>
      </c>
      <c r="FS53" s="277"/>
      <c r="FT53" s="277"/>
      <c r="FU53" s="278"/>
      <c r="FV53" s="279"/>
      <c r="FW53" s="279"/>
      <c r="FX53" s="279"/>
      <c r="FY53" s="168"/>
      <c r="FZ53" s="168"/>
      <c r="GA53" s="276" t="s">
        <v>141</v>
      </c>
      <c r="GI53" s="277"/>
      <c r="GJ53" s="277"/>
      <c r="GK53" s="278"/>
      <c r="GL53" s="279"/>
      <c r="GM53" s="279"/>
      <c r="GN53" s="279"/>
      <c r="GO53" s="168"/>
      <c r="GP53" s="168"/>
      <c r="GQ53" s="276" t="s">
        <v>141</v>
      </c>
      <c r="GY53" s="277"/>
      <c r="GZ53" s="277"/>
      <c r="HA53" s="278"/>
      <c r="HB53" s="279"/>
      <c r="HC53" s="279"/>
      <c r="HD53" s="279"/>
      <c r="HE53" s="168"/>
      <c r="HF53" s="172"/>
      <c r="HG53" s="172"/>
      <c r="HH53" s="172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168" customFormat="1" ht="12.75" x14ac:dyDescent="0.2">
      <c r="A54" s="869"/>
      <c r="B54" s="202" t="s">
        <v>423</v>
      </c>
      <c r="C54" s="162"/>
      <c r="D54" s="162"/>
      <c r="E54" s="162"/>
      <c r="F54" s="162"/>
      <c r="G54" s="162"/>
      <c r="H54" s="162"/>
      <c r="I54" s="162"/>
      <c r="J54" s="183"/>
      <c r="K54" s="183"/>
      <c r="L54" s="163"/>
      <c r="M54" s="184">
        <f>IF(D36=0,0,((Data!G107*Data!H107)+(Data!G108*Data!H108)+(Data!G109*Data!H109)+(Data!G110*Data!H110)+(Data!G111*Data!H111)+(Data!G112*Data!H112)))</f>
        <v>76.38</v>
      </c>
      <c r="N54" s="248"/>
      <c r="O54" s="248"/>
      <c r="P54" s="248"/>
      <c r="Q54" s="912"/>
      <c r="R54" s="913"/>
      <c r="S54" s="167"/>
      <c r="V54" s="298" t="s">
        <v>142</v>
      </c>
      <c r="Z54" s="168" t="e">
        <f>SUM(Z5*AG54)/100</f>
        <v>#DIV/0!</v>
      </c>
      <c r="AB54" s="168" t="e">
        <f>SUM(Z6*AH54)/100</f>
        <v>#DIV/0!</v>
      </c>
      <c r="AD54" s="191">
        <f>SUM(Z7*AI54)/100</f>
        <v>0</v>
      </c>
      <c r="AE54" s="191"/>
      <c r="AF54" s="192">
        <f>SUM((Z5*X18/X27)+(Z6*X24/X27)+(Z7*X26/X27))*(Data!E138)</f>
        <v>0</v>
      </c>
      <c r="AG54" s="244" t="e">
        <f>$N63</f>
        <v>#DIV/0!</v>
      </c>
      <c r="AH54" s="244" t="e">
        <f>$O63</f>
        <v>#DIV/0!</v>
      </c>
      <c r="AI54" s="244">
        <f>$P63</f>
        <v>0</v>
      </c>
      <c r="AL54" s="169"/>
      <c r="AM54" s="298" t="s">
        <v>142</v>
      </c>
      <c r="AQ54" s="168" t="e">
        <f>SUM(AQ5*AX54)/100</f>
        <v>#DIV/0!</v>
      </c>
      <c r="AS54" s="168" t="e">
        <f>SUM(AQ6*AY54)/100</f>
        <v>#DIV/0!</v>
      </c>
      <c r="AU54" s="191">
        <f>SUM(AQ7*AZ54)/100</f>
        <v>0</v>
      </c>
      <c r="AV54" s="191"/>
      <c r="AW54" s="192">
        <f>SUM((AQ5*AO18/AO27)+(AQ6*AO24/AO27)+(AQ7*AO26/AO27))*(Data!V138)</f>
        <v>0</v>
      </c>
      <c r="AX54" s="244" t="e">
        <f>$N63</f>
        <v>#DIV/0!</v>
      </c>
      <c r="AY54" s="244" t="e">
        <f>$O63</f>
        <v>#DIV/0!</v>
      </c>
      <c r="AZ54" s="244">
        <f>$P63</f>
        <v>0</v>
      </c>
      <c r="BC54" s="298" t="s">
        <v>142</v>
      </c>
      <c r="BG54" s="168" t="e">
        <f>SUM(BG5*BN54)/100</f>
        <v>#DIV/0!</v>
      </c>
      <c r="BI54" s="168" t="e">
        <f>SUM(BG6*BO54)/100</f>
        <v>#DIV/0!</v>
      </c>
      <c r="BK54" s="191">
        <f>SUM(BG7*BP54)/100</f>
        <v>0</v>
      </c>
      <c r="BL54" s="191"/>
      <c r="BM54" s="192">
        <f>SUM((BG5*BE18/BE27)+(BG6*BE24/BE27)+(BG7*BE26/BE27))*(Data!AL138)</f>
        <v>0</v>
      </c>
      <c r="BN54" s="244" t="e">
        <f>$N63</f>
        <v>#DIV/0!</v>
      </c>
      <c r="BO54" s="244" t="e">
        <f>$O63</f>
        <v>#DIV/0!</v>
      </c>
      <c r="BP54" s="244">
        <f>$P63</f>
        <v>0</v>
      </c>
      <c r="BS54" s="298" t="s">
        <v>142</v>
      </c>
      <c r="BW54" s="168" t="e">
        <f>SUM(BW5*CD54)/100</f>
        <v>#DIV/0!</v>
      </c>
      <c r="BY54" s="168" t="e">
        <f>SUM(BW6*CE54)/100</f>
        <v>#DIV/0!</v>
      </c>
      <c r="CA54" s="191">
        <f>SUM(BW7*CF54)/100</f>
        <v>0</v>
      </c>
      <c r="CB54" s="191"/>
      <c r="CC54" s="192">
        <f>SUM((BW5*BU18/BU27)+(BW6*BU24/BU27)+(BW7*BU26/BU27))*(Data!BB138)</f>
        <v>0</v>
      </c>
      <c r="CD54" s="244" t="e">
        <f>$N63</f>
        <v>#DIV/0!</v>
      </c>
      <c r="CE54" s="244" t="e">
        <f>$O63</f>
        <v>#DIV/0!</v>
      </c>
      <c r="CF54" s="244">
        <f>$P63</f>
        <v>0</v>
      </c>
      <c r="CI54" s="298" t="s">
        <v>142</v>
      </c>
      <c r="CM54" s="168" t="e">
        <f>SUM(CM5*CT54)/100</f>
        <v>#DIV/0!</v>
      </c>
      <c r="CO54" s="168" t="e">
        <f>SUM(CM6*CU54)/100</f>
        <v>#DIV/0!</v>
      </c>
      <c r="CQ54" s="191">
        <f>SUM(CM7*CV54)/100</f>
        <v>0</v>
      </c>
      <c r="CR54" s="191"/>
      <c r="CS54" s="192">
        <f>SUM((CM5*CK18/CK27)+(CM6*CK24/CK27)+(CM7*CK26/CK27))*(Data!BR138)</f>
        <v>0</v>
      </c>
      <c r="CT54" s="244" t="e">
        <f>$N63</f>
        <v>#DIV/0!</v>
      </c>
      <c r="CU54" s="244" t="e">
        <f>$O63</f>
        <v>#DIV/0!</v>
      </c>
      <c r="CV54" s="244">
        <f>$P63</f>
        <v>0</v>
      </c>
      <c r="CY54" s="298" t="s">
        <v>142</v>
      </c>
      <c r="DC54" s="168" t="e">
        <f>SUM(DC5*DJ54)/100</f>
        <v>#DIV/0!</v>
      </c>
      <c r="DE54" s="168" t="e">
        <f>SUM(DC6*DK54)/100</f>
        <v>#DIV/0!</v>
      </c>
      <c r="DG54" s="191">
        <f>SUM(DC7*DL54)/100</f>
        <v>0</v>
      </c>
      <c r="DH54" s="191"/>
      <c r="DI54" s="192">
        <f>SUM((DC5*DA18/DA27)+(DC6*DA24/DA27)+(DC7*DA26/DA27))*(Data!CH138)</f>
        <v>0</v>
      </c>
      <c r="DJ54" s="244" t="e">
        <f>$N63</f>
        <v>#DIV/0!</v>
      </c>
      <c r="DK54" s="244" t="e">
        <f>$O63</f>
        <v>#DIV/0!</v>
      </c>
      <c r="DL54" s="244">
        <f>$P63</f>
        <v>0</v>
      </c>
      <c r="DO54" s="298" t="s">
        <v>142</v>
      </c>
      <c r="DS54" s="168" t="e">
        <f>SUM(DS5*DZ54)/100</f>
        <v>#DIV/0!</v>
      </c>
      <c r="DU54" s="168" t="e">
        <f>SUM(DS6*EA54)/100</f>
        <v>#DIV/0!</v>
      </c>
      <c r="DW54" s="191">
        <f>SUM(DS7*EB54)/100</f>
        <v>0</v>
      </c>
      <c r="DX54" s="191"/>
      <c r="DY54" s="192">
        <f>SUM((DS5*DQ18/DQ27)+(DS6*DQ24/DQ27)+(DS7*DQ26/DQ27))*(Data!CX138)</f>
        <v>0</v>
      </c>
      <c r="DZ54" s="244" t="e">
        <f>$N63</f>
        <v>#DIV/0!</v>
      </c>
      <c r="EA54" s="244" t="e">
        <f>$O63</f>
        <v>#DIV/0!</v>
      </c>
      <c r="EB54" s="244">
        <f>$P63</f>
        <v>0</v>
      </c>
      <c r="EE54" s="298" t="s">
        <v>142</v>
      </c>
      <c r="EI54" s="168" t="e">
        <f>SUM(EI5*EP54)/100</f>
        <v>#DIV/0!</v>
      </c>
      <c r="EK54" s="168" t="e">
        <f>SUM(EI6*EQ54)/100</f>
        <v>#DIV/0!</v>
      </c>
      <c r="EM54" s="191">
        <f>SUM(EI7*ER54)/100</f>
        <v>0</v>
      </c>
      <c r="EN54" s="191"/>
      <c r="EO54" s="192">
        <f>SUM((EI5*EG18/EG27)+(EI6*EG24/EG27)+(EI7*EG26/EG27))*(Data!DN138)</f>
        <v>0</v>
      </c>
      <c r="EP54" s="244" t="e">
        <f>$N63</f>
        <v>#DIV/0!</v>
      </c>
      <c r="EQ54" s="244" t="e">
        <f>$O63</f>
        <v>#DIV/0!</v>
      </c>
      <c r="ER54" s="244">
        <f>$P63</f>
        <v>0</v>
      </c>
      <c r="EU54" s="298" t="s">
        <v>142</v>
      </c>
      <c r="EY54" s="168" t="e">
        <f>SUM(EY5*FF54)/100</f>
        <v>#DIV/0!</v>
      </c>
      <c r="FA54" s="168" t="e">
        <f>SUM(EY6*FG54)/100</f>
        <v>#DIV/0!</v>
      </c>
      <c r="FC54" s="191">
        <f>SUM(EY7*FH54)/100</f>
        <v>0</v>
      </c>
      <c r="FD54" s="191"/>
      <c r="FE54" s="192">
        <f>SUM((EY5*EW18/EW27)+(EY6*EW24/EW27)+(EY7*EW26/EW27))*(Data!ED138)</f>
        <v>0</v>
      </c>
      <c r="FF54" s="244" t="e">
        <f>$N63</f>
        <v>#DIV/0!</v>
      </c>
      <c r="FG54" s="244" t="e">
        <f>$O63</f>
        <v>#DIV/0!</v>
      </c>
      <c r="FH54" s="244">
        <f>$P63</f>
        <v>0</v>
      </c>
      <c r="FK54" s="298" t="s">
        <v>142</v>
      </c>
      <c r="FO54" s="168" t="e">
        <f>SUM(FO5*FV54)/100</f>
        <v>#DIV/0!</v>
      </c>
      <c r="FQ54" s="168" t="e">
        <f>SUM(FO6*FW54)/100</f>
        <v>#DIV/0!</v>
      </c>
      <c r="FS54" s="191">
        <f>SUM(FO7*FX54)/100</f>
        <v>0</v>
      </c>
      <c r="FT54" s="191"/>
      <c r="FU54" s="192">
        <f>SUM((FO5*FM18/FM27)+(FO6*FM24/FM27)+(FO7*FM26/FM27))*(Data!ET138)</f>
        <v>0</v>
      </c>
      <c r="FV54" s="244" t="e">
        <f>$N63</f>
        <v>#DIV/0!</v>
      </c>
      <c r="FW54" s="244" t="e">
        <f>$O63</f>
        <v>#DIV/0!</v>
      </c>
      <c r="FX54" s="244">
        <f>$P63</f>
        <v>0</v>
      </c>
      <c r="GA54" s="298" t="s">
        <v>142</v>
      </c>
      <c r="GE54" s="168" t="e">
        <f>SUM(GE5*GL54)/100</f>
        <v>#DIV/0!</v>
      </c>
      <c r="GG54" s="168" t="e">
        <f>SUM(GE6*GM54)/100</f>
        <v>#DIV/0!</v>
      </c>
      <c r="GI54" s="191">
        <f>SUM(GE7*GN54)/100</f>
        <v>0</v>
      </c>
      <c r="GJ54" s="191"/>
      <c r="GK54" s="192">
        <f>SUM((GE5*GC18/GC27)+(GE6*GC24/GC27)+(GE7*GC26/GC27))*(Data!FJ138)</f>
        <v>0</v>
      </c>
      <c r="GL54" s="244" t="e">
        <f>$N63</f>
        <v>#DIV/0!</v>
      </c>
      <c r="GM54" s="244" t="e">
        <f>$O63</f>
        <v>#DIV/0!</v>
      </c>
      <c r="GN54" s="244">
        <f>$P63</f>
        <v>0</v>
      </c>
      <c r="GQ54" s="298" t="s">
        <v>142</v>
      </c>
      <c r="GU54" s="168" t="e">
        <f>SUM(GU5*HB54)/100</f>
        <v>#DIV/0!</v>
      </c>
      <c r="GW54" s="168" t="e">
        <f>SUM(GU6*HC54)/100</f>
        <v>#DIV/0!</v>
      </c>
      <c r="GY54" s="191">
        <f>SUM(GU7*HD54)/100</f>
        <v>0</v>
      </c>
      <c r="GZ54" s="191"/>
      <c r="HA54" s="192">
        <f>SUM((GU5*GS18/GS27)+(GU6*GS24/GS27)+(GU7*GS26/GS27))*(Data!FZ138)</f>
        <v>0</v>
      </c>
      <c r="HB54" s="244" t="e">
        <f>$N63</f>
        <v>#DIV/0!</v>
      </c>
      <c r="HC54" s="244" t="e">
        <f>$O63</f>
        <v>#DIV/0!</v>
      </c>
      <c r="HD54" s="244">
        <f>$P63</f>
        <v>0</v>
      </c>
      <c r="HF54" s="172"/>
      <c r="HG54" s="172"/>
      <c r="HH54" s="172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168" customFormat="1" ht="12.75" x14ac:dyDescent="0.2">
      <c r="A55" s="869"/>
      <c r="B55" s="202" t="s">
        <v>424</v>
      </c>
      <c r="C55" s="162"/>
      <c r="D55" s="162"/>
      <c r="E55" s="162"/>
      <c r="F55" s="162"/>
      <c r="G55" s="162"/>
      <c r="H55" s="162"/>
      <c r="I55" s="162"/>
      <c r="J55" s="183"/>
      <c r="K55" s="183"/>
      <c r="L55" s="163"/>
      <c r="M55" s="184">
        <f>IF(D36=0,0,((Data!G114*Data!H114*Data!J114)+(Data!G115*Data!H115*Data!J115)+(Data!G116*Data!H116*Data!J116)+(Data!G117*Data!H117*Data!J117)))</f>
        <v>36.924999999999997</v>
      </c>
      <c r="N55" s="248"/>
      <c r="O55" s="248"/>
      <c r="P55" s="248"/>
      <c r="Q55" s="912"/>
      <c r="R55" s="913"/>
      <c r="S55" s="167"/>
      <c r="V55" s="298" t="s">
        <v>143</v>
      </c>
      <c r="Z55" s="168">
        <f>SUM(Z5*AG55)/100</f>
        <v>0</v>
      </c>
      <c r="AB55" s="168">
        <f>SUM(Z6*AH55)/100</f>
        <v>0</v>
      </c>
      <c r="AD55" s="191">
        <f>SUM(Z7*AI55)/100</f>
        <v>0</v>
      </c>
      <c r="AE55" s="191"/>
      <c r="AF55" s="192">
        <f>SUM((Z5*X18/X27)+(Z6*X24/X27)+(Z7*X26/X27))*(Data!E139)</f>
        <v>0</v>
      </c>
      <c r="AG55" s="244">
        <f>$N64</f>
        <v>0</v>
      </c>
      <c r="AH55" s="244">
        <f>$O64</f>
        <v>0</v>
      </c>
      <c r="AI55" s="244">
        <f>$P64</f>
        <v>0</v>
      </c>
      <c r="AL55" s="169"/>
      <c r="AM55" s="298" t="s">
        <v>143</v>
      </c>
      <c r="AQ55" s="168">
        <f>SUM(AQ5*AX55)/100</f>
        <v>0</v>
      </c>
      <c r="AS55" s="168">
        <f>SUM(AQ6*AY55)/100</f>
        <v>0</v>
      </c>
      <c r="AU55" s="191">
        <f>SUM(AQ7*AZ55)/100</f>
        <v>0</v>
      </c>
      <c r="AV55" s="191"/>
      <c r="AW55" s="192">
        <f>SUM((AQ5*AO18/AO27)+(AQ6*AO24/AO27)+(AQ7*AO26/AO27))*(Data!V139)</f>
        <v>0</v>
      </c>
      <c r="AX55" s="244">
        <f>$N64</f>
        <v>0</v>
      </c>
      <c r="AY55" s="244">
        <f>$O64</f>
        <v>0</v>
      </c>
      <c r="AZ55" s="244">
        <f>$P64</f>
        <v>0</v>
      </c>
      <c r="BC55" s="298" t="s">
        <v>143</v>
      </c>
      <c r="BG55" s="168">
        <f>SUM(BG5*BN55)/100</f>
        <v>0</v>
      </c>
      <c r="BI55" s="168">
        <f>SUM(BG6*BO55)/100</f>
        <v>0</v>
      </c>
      <c r="BK55" s="191">
        <f>SUM(BG7*BP55)/100</f>
        <v>0</v>
      </c>
      <c r="BL55" s="191"/>
      <c r="BM55" s="192">
        <f>SUM((BG5*BE18/BE27)+(BG6*BE24/BE27)+(BG7*BE26/BE27))*(Data!AL139)</f>
        <v>0</v>
      </c>
      <c r="BN55" s="244">
        <f>$N64</f>
        <v>0</v>
      </c>
      <c r="BO55" s="244">
        <f>$O64</f>
        <v>0</v>
      </c>
      <c r="BP55" s="244">
        <f>$P64</f>
        <v>0</v>
      </c>
      <c r="BS55" s="298" t="s">
        <v>143</v>
      </c>
      <c r="BW55" s="168">
        <f>SUM(BW5*CD55)/100</f>
        <v>0</v>
      </c>
      <c r="BY55" s="168">
        <f>SUM(BW6*CE55)/100</f>
        <v>0</v>
      </c>
      <c r="CA55" s="191">
        <f>SUM(BW7*CF55)/100</f>
        <v>0</v>
      </c>
      <c r="CB55" s="191"/>
      <c r="CC55" s="192">
        <f>SUM((BW5*BU18/BU27)+(BW6*BU24/BU27)+(BW7*BU26/BU27))*(Data!BB139)</f>
        <v>0</v>
      </c>
      <c r="CD55" s="244">
        <f>$N64</f>
        <v>0</v>
      </c>
      <c r="CE55" s="244">
        <f>$O64</f>
        <v>0</v>
      </c>
      <c r="CF55" s="244">
        <f>$P64</f>
        <v>0</v>
      </c>
      <c r="CI55" s="298" t="s">
        <v>143</v>
      </c>
      <c r="CM55" s="168">
        <f>SUM(CM5*CT55)/100</f>
        <v>0</v>
      </c>
      <c r="CO55" s="168">
        <f>SUM(CM6*CU55)/100</f>
        <v>0</v>
      </c>
      <c r="CQ55" s="191">
        <f>SUM(CM7*CV55)/100</f>
        <v>0</v>
      </c>
      <c r="CR55" s="191"/>
      <c r="CS55" s="192">
        <f>SUM((CM5*CK18/CK27)+(CM6*CK24/CK27)+(CM7*CK26/CK27))*(Data!BR139)</f>
        <v>0</v>
      </c>
      <c r="CT55" s="244">
        <f>$N64</f>
        <v>0</v>
      </c>
      <c r="CU55" s="244">
        <f>$O64</f>
        <v>0</v>
      </c>
      <c r="CV55" s="244">
        <f>$P64</f>
        <v>0</v>
      </c>
      <c r="CY55" s="298" t="s">
        <v>143</v>
      </c>
      <c r="DC55" s="168">
        <f>SUM(DC5*DJ55)/100</f>
        <v>0</v>
      </c>
      <c r="DE55" s="168">
        <f>SUM(DC6*DK55)/100</f>
        <v>0</v>
      </c>
      <c r="DG55" s="191">
        <f>SUM(DC7*DL55)/100</f>
        <v>0</v>
      </c>
      <c r="DH55" s="191"/>
      <c r="DI55" s="192">
        <f>SUM((DC5*DA18/DA27)+(DC6*DA24/DA27)+(DC7*DA26/DA27))*(Data!CH139)</f>
        <v>0</v>
      </c>
      <c r="DJ55" s="244">
        <f>$N64</f>
        <v>0</v>
      </c>
      <c r="DK55" s="244">
        <f>$O64</f>
        <v>0</v>
      </c>
      <c r="DL55" s="244">
        <f>$P64</f>
        <v>0</v>
      </c>
      <c r="DO55" s="298" t="s">
        <v>143</v>
      </c>
      <c r="DS55" s="168">
        <f>SUM(DS5*DZ55)/100</f>
        <v>0</v>
      </c>
      <c r="DU55" s="168">
        <f>SUM(DS6*EA55)/100</f>
        <v>0</v>
      </c>
      <c r="DW55" s="191">
        <f>SUM(DS7*EB55)/100</f>
        <v>0</v>
      </c>
      <c r="DX55" s="191"/>
      <c r="DY55" s="192">
        <f>SUM((DS5*DQ18/DQ27)+(DS6*DQ24/DQ27)+(DS7*DQ26/DQ27))*(Data!CX139)</f>
        <v>0</v>
      </c>
      <c r="DZ55" s="244">
        <f>$N64</f>
        <v>0</v>
      </c>
      <c r="EA55" s="244">
        <f>$O64</f>
        <v>0</v>
      </c>
      <c r="EB55" s="244">
        <f>$P64</f>
        <v>0</v>
      </c>
      <c r="EE55" s="298" t="s">
        <v>143</v>
      </c>
      <c r="EI55" s="168">
        <f>SUM(EI5*EP55)/100</f>
        <v>0</v>
      </c>
      <c r="EK55" s="168">
        <f>SUM(EI6*EQ55)/100</f>
        <v>0</v>
      </c>
      <c r="EM55" s="191">
        <f>SUM(EI7*ER55)/100</f>
        <v>0</v>
      </c>
      <c r="EN55" s="191"/>
      <c r="EO55" s="192">
        <f>SUM((EI5*EG18/EG27)+(EI6*EG24/EG27)+(EI7*EG26/EG27))*(Data!DN139)</f>
        <v>0</v>
      </c>
      <c r="EP55" s="244">
        <f>$N64</f>
        <v>0</v>
      </c>
      <c r="EQ55" s="244">
        <f>$O64</f>
        <v>0</v>
      </c>
      <c r="ER55" s="244">
        <f>$P64</f>
        <v>0</v>
      </c>
      <c r="EU55" s="298" t="s">
        <v>143</v>
      </c>
      <c r="EY55" s="168">
        <f>SUM(EY5*FF55)/100</f>
        <v>0</v>
      </c>
      <c r="FA55" s="168">
        <f>SUM(EY6*FG55)/100</f>
        <v>0</v>
      </c>
      <c r="FC55" s="191">
        <f>SUM(EY7*FH55)/100</f>
        <v>0</v>
      </c>
      <c r="FD55" s="191"/>
      <c r="FE55" s="192">
        <f>SUM((EY5*EW18/EW27)+(EY6*EW24/EW27)+(EY7*EW26/EW27))*(Data!ED139)</f>
        <v>0</v>
      </c>
      <c r="FF55" s="244">
        <f>$N64</f>
        <v>0</v>
      </c>
      <c r="FG55" s="244">
        <f>$O64</f>
        <v>0</v>
      </c>
      <c r="FH55" s="244">
        <f>$P64</f>
        <v>0</v>
      </c>
      <c r="FK55" s="298" t="s">
        <v>143</v>
      </c>
      <c r="FO55" s="168">
        <f>SUM(FO5*FV55)/100</f>
        <v>0</v>
      </c>
      <c r="FQ55" s="168">
        <f>SUM(FO6*FW55)/100</f>
        <v>0</v>
      </c>
      <c r="FS55" s="191">
        <f>SUM(FO7*FX55)/100</f>
        <v>0</v>
      </c>
      <c r="FT55" s="191"/>
      <c r="FU55" s="192">
        <f>SUM((FO5*FM18/FM27)+(FO6*FM24/FM27)+(FO7*FM26/FM27))*(Data!ET139)</f>
        <v>0</v>
      </c>
      <c r="FV55" s="244">
        <f>$N64</f>
        <v>0</v>
      </c>
      <c r="FW55" s="244">
        <f>$O64</f>
        <v>0</v>
      </c>
      <c r="FX55" s="244">
        <f>$P64</f>
        <v>0</v>
      </c>
      <c r="GA55" s="298" t="s">
        <v>143</v>
      </c>
      <c r="GE55" s="168">
        <f>SUM(GE5*GL55)/100</f>
        <v>0</v>
      </c>
      <c r="GG55" s="168">
        <f>SUM(GE6*GM55)/100</f>
        <v>0</v>
      </c>
      <c r="GI55" s="191">
        <f>SUM(GE7*GN55)/100</f>
        <v>0</v>
      </c>
      <c r="GJ55" s="191"/>
      <c r="GK55" s="192">
        <f>SUM((GE5*GC18/GC27)+(GE6*GC24/GC27)+(GE7*GC26/GC27))*(Data!FJ139)</f>
        <v>0</v>
      </c>
      <c r="GL55" s="244">
        <f>$N64</f>
        <v>0</v>
      </c>
      <c r="GM55" s="244">
        <f>$O64</f>
        <v>0</v>
      </c>
      <c r="GN55" s="244">
        <f>$P64</f>
        <v>0</v>
      </c>
      <c r="GQ55" s="298" t="s">
        <v>143</v>
      </c>
      <c r="GU55" s="168">
        <f>SUM(GU5*HB55)/100</f>
        <v>0</v>
      </c>
      <c r="GW55" s="168">
        <f>SUM(GU6*HC55)/100</f>
        <v>0</v>
      </c>
      <c r="GY55" s="191">
        <f>SUM(GU7*HD55)/100</f>
        <v>0</v>
      </c>
      <c r="GZ55" s="191"/>
      <c r="HA55" s="192">
        <f>SUM((GU5*GS18/GS27)+(GU6*GS24/GS27)+(GU7*GS26/GS27))*(Data!FZ139)</f>
        <v>0</v>
      </c>
      <c r="HB55" s="244">
        <f>$N64</f>
        <v>0</v>
      </c>
      <c r="HC55" s="244">
        <f>$O64</f>
        <v>0</v>
      </c>
      <c r="HD55" s="244">
        <f>$P64</f>
        <v>0</v>
      </c>
      <c r="HF55" s="172"/>
      <c r="HG55" s="172"/>
      <c r="HH55" s="172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168" customFormat="1" ht="12.75" x14ac:dyDescent="0.2">
      <c r="A56" s="869"/>
      <c r="B56" s="202" t="s">
        <v>126</v>
      </c>
      <c r="C56" s="162"/>
      <c r="D56" s="162"/>
      <c r="E56" s="162"/>
      <c r="F56" s="162"/>
      <c r="G56" s="162"/>
      <c r="H56" s="162"/>
      <c r="I56" s="162"/>
      <c r="J56" s="183"/>
      <c r="K56" s="183"/>
      <c r="L56" s="163"/>
      <c r="M56" s="184">
        <f>IF(D36=0,0,((Data!G119*Data!H119)+(Data!G120*Data!H120)+(Data!G121*Data!H121)+(Data!G122*Data!H122)))</f>
        <v>12.5</v>
      </c>
      <c r="N56" s="248"/>
      <c r="O56" s="248"/>
      <c r="P56" s="248"/>
      <c r="Q56" s="912"/>
      <c r="R56" s="913"/>
      <c r="S56" s="167"/>
      <c r="V56" s="298" t="s">
        <v>144</v>
      </c>
      <c r="Z56" s="168">
        <f>SUM(Z5*AG56)/100</f>
        <v>0</v>
      </c>
      <c r="AB56" s="168">
        <f>SUM(Z6*AH56)/100</f>
        <v>0</v>
      </c>
      <c r="AD56" s="191">
        <f>SUM(Z7*AI56)/100</f>
        <v>0</v>
      </c>
      <c r="AE56" s="191"/>
      <c r="AF56" s="192">
        <f>SUM((Z5*X18/X27)+(Z6*X24/X27)+(Z7*X26/X27))*(Data!E140)</f>
        <v>0</v>
      </c>
      <c r="AG56" s="244">
        <f>$N65</f>
        <v>0</v>
      </c>
      <c r="AH56" s="244">
        <f>$O65</f>
        <v>0</v>
      </c>
      <c r="AI56" s="244">
        <f>$P65</f>
        <v>0</v>
      </c>
      <c r="AL56" s="169"/>
      <c r="AM56" s="298" t="s">
        <v>144</v>
      </c>
      <c r="AQ56" s="168">
        <f>SUM(AQ5*AX56)/100</f>
        <v>0</v>
      </c>
      <c r="AS56" s="168">
        <f>SUM(AQ6*AY56)/100</f>
        <v>0</v>
      </c>
      <c r="AU56" s="191">
        <f>SUM(AQ7*AZ56)/100</f>
        <v>0</v>
      </c>
      <c r="AV56" s="191"/>
      <c r="AW56" s="192">
        <f>SUM((AQ5*AO18/AO27)+(AQ6*AO24/AO27)+(AQ7*AO26/AO27))*(Data!V140)</f>
        <v>0</v>
      </c>
      <c r="AX56" s="244">
        <f>$N65</f>
        <v>0</v>
      </c>
      <c r="AY56" s="244">
        <f>$O65</f>
        <v>0</v>
      </c>
      <c r="AZ56" s="244">
        <f>$P65</f>
        <v>0</v>
      </c>
      <c r="BC56" s="298" t="s">
        <v>144</v>
      </c>
      <c r="BG56" s="168">
        <f>SUM(BG5*BN56)/100</f>
        <v>0</v>
      </c>
      <c r="BI56" s="168">
        <f>SUM(BG6*BO56)/100</f>
        <v>0</v>
      </c>
      <c r="BK56" s="191">
        <f>SUM(BG7*BP56)/100</f>
        <v>0</v>
      </c>
      <c r="BL56" s="191"/>
      <c r="BM56" s="192">
        <f>SUM((BG5*BE18/BE27)+(BG6*BE24/BE27)+(BG7*BE26/BE27))*(Data!AL140)</f>
        <v>0</v>
      </c>
      <c r="BN56" s="244">
        <f>$N65</f>
        <v>0</v>
      </c>
      <c r="BO56" s="244">
        <f>$O65</f>
        <v>0</v>
      </c>
      <c r="BP56" s="244">
        <f>$P65</f>
        <v>0</v>
      </c>
      <c r="BS56" s="298" t="s">
        <v>144</v>
      </c>
      <c r="BW56" s="168">
        <f>SUM(BW5*CD56)/100</f>
        <v>0</v>
      </c>
      <c r="BY56" s="168">
        <f>SUM(BW6*CE56)/100</f>
        <v>0</v>
      </c>
      <c r="CA56" s="191">
        <f>SUM(BW7*CF56)/100</f>
        <v>0</v>
      </c>
      <c r="CB56" s="191"/>
      <c r="CC56" s="192">
        <f>SUM((BW5*BU18/BU27)+(BW6*BU24/BU27)+(BW7*BU26/BU27))*(Data!BB140)</f>
        <v>0</v>
      </c>
      <c r="CD56" s="244">
        <f>$N65</f>
        <v>0</v>
      </c>
      <c r="CE56" s="244">
        <f>$O65</f>
        <v>0</v>
      </c>
      <c r="CF56" s="244">
        <f>$P65</f>
        <v>0</v>
      </c>
      <c r="CI56" s="298" t="s">
        <v>144</v>
      </c>
      <c r="CM56" s="168">
        <f>SUM(CM5*CT56)/100</f>
        <v>0</v>
      </c>
      <c r="CO56" s="168">
        <f>SUM(CM6*CU56)/100</f>
        <v>0</v>
      </c>
      <c r="CQ56" s="191">
        <f>SUM(CM7*CV56)/100</f>
        <v>0</v>
      </c>
      <c r="CR56" s="191"/>
      <c r="CS56" s="192">
        <f>SUM((CM5*CK18/CK27)+(CM6*CK24/CK27)+(CM7*CK26/CK27))*(Data!BR140)</f>
        <v>0</v>
      </c>
      <c r="CT56" s="244">
        <f>$N65</f>
        <v>0</v>
      </c>
      <c r="CU56" s="244">
        <f>$O65</f>
        <v>0</v>
      </c>
      <c r="CV56" s="244">
        <f>$P65</f>
        <v>0</v>
      </c>
      <c r="CY56" s="298" t="s">
        <v>144</v>
      </c>
      <c r="DC56" s="168">
        <f>SUM(DC5*DJ56)/100</f>
        <v>0</v>
      </c>
      <c r="DE56" s="168">
        <f>SUM(DC6*DK56)/100</f>
        <v>0</v>
      </c>
      <c r="DG56" s="191">
        <f>SUM(DC7*DL56)/100</f>
        <v>0</v>
      </c>
      <c r="DH56" s="191"/>
      <c r="DI56" s="192">
        <f>SUM((DC5*DA18/DA27)+(DC6*DA24/DA27)+(DC7*DA26/DA27))*(Data!CH140)</f>
        <v>0</v>
      </c>
      <c r="DJ56" s="244">
        <f>$N65</f>
        <v>0</v>
      </c>
      <c r="DK56" s="244">
        <f>$O65</f>
        <v>0</v>
      </c>
      <c r="DL56" s="244">
        <f>$P65</f>
        <v>0</v>
      </c>
      <c r="DO56" s="298" t="s">
        <v>144</v>
      </c>
      <c r="DS56" s="168">
        <f>SUM(DS5*DZ56)/100</f>
        <v>0</v>
      </c>
      <c r="DU56" s="168">
        <f>SUM(DS6*EA56)/100</f>
        <v>0</v>
      </c>
      <c r="DW56" s="191">
        <f>SUM(DS7*EB56)/100</f>
        <v>0</v>
      </c>
      <c r="DX56" s="191"/>
      <c r="DY56" s="192">
        <f>SUM((DS5*DQ18/DQ27)+(DS6*DQ24/DQ27)+(DS7*DQ26/DQ27))*(Data!CX140)</f>
        <v>0</v>
      </c>
      <c r="DZ56" s="244">
        <f>$N65</f>
        <v>0</v>
      </c>
      <c r="EA56" s="244">
        <f>$O65</f>
        <v>0</v>
      </c>
      <c r="EB56" s="244">
        <f>$P65</f>
        <v>0</v>
      </c>
      <c r="EE56" s="298" t="s">
        <v>144</v>
      </c>
      <c r="EI56" s="168">
        <f>SUM(EI5*EP56)/100</f>
        <v>0</v>
      </c>
      <c r="EK56" s="168">
        <f>SUM(EI6*EQ56)/100</f>
        <v>0</v>
      </c>
      <c r="EM56" s="191">
        <f>SUM(EI7*ER56)/100</f>
        <v>0</v>
      </c>
      <c r="EN56" s="191"/>
      <c r="EO56" s="192">
        <f>SUM((EI5*EG18/EG27)+(EI6*EG24/EG27)+(EI7*EG26/EG27))*(Data!DN140)</f>
        <v>0</v>
      </c>
      <c r="EP56" s="244">
        <f>$N65</f>
        <v>0</v>
      </c>
      <c r="EQ56" s="244">
        <f>$O65</f>
        <v>0</v>
      </c>
      <c r="ER56" s="244">
        <f>$P65</f>
        <v>0</v>
      </c>
      <c r="EU56" s="298" t="s">
        <v>144</v>
      </c>
      <c r="EY56" s="168">
        <f>SUM(EY5*FF56)/100</f>
        <v>0</v>
      </c>
      <c r="FA56" s="168">
        <f>SUM(EY6*FG56)/100</f>
        <v>0</v>
      </c>
      <c r="FC56" s="191">
        <f>SUM(EY7*FH56)/100</f>
        <v>0</v>
      </c>
      <c r="FD56" s="191"/>
      <c r="FE56" s="192">
        <f>SUM((EY5*EW18/EW27)+(EY6*EW24/EW27)+(EY7*EW26/EW27))*(Data!ED140)</f>
        <v>0</v>
      </c>
      <c r="FF56" s="244">
        <f>$N65</f>
        <v>0</v>
      </c>
      <c r="FG56" s="244">
        <f>$O65</f>
        <v>0</v>
      </c>
      <c r="FH56" s="244">
        <f>$P65</f>
        <v>0</v>
      </c>
      <c r="FK56" s="298" t="s">
        <v>144</v>
      </c>
      <c r="FO56" s="168">
        <f>SUM(FO5*FV56)/100</f>
        <v>0</v>
      </c>
      <c r="FQ56" s="168">
        <f>SUM(FO6*FW56)/100</f>
        <v>0</v>
      </c>
      <c r="FS56" s="191">
        <f>SUM(FO7*FX56)/100</f>
        <v>0</v>
      </c>
      <c r="FT56" s="191"/>
      <c r="FU56" s="192">
        <f>SUM((FO5*FM18/FM27)+(FO6*FM24/FM27)+(FO7*FM26/FM27))*(Data!ET140)</f>
        <v>0</v>
      </c>
      <c r="FV56" s="244">
        <f>$N65</f>
        <v>0</v>
      </c>
      <c r="FW56" s="244">
        <f>$O65</f>
        <v>0</v>
      </c>
      <c r="FX56" s="244">
        <f>$P65</f>
        <v>0</v>
      </c>
      <c r="GA56" s="298" t="s">
        <v>144</v>
      </c>
      <c r="GE56" s="168">
        <f>SUM(GE5*GL56)/100</f>
        <v>0</v>
      </c>
      <c r="GG56" s="168">
        <f>SUM(GE6*GM56)/100</f>
        <v>0</v>
      </c>
      <c r="GI56" s="191">
        <f>SUM(GE7*GN56)/100</f>
        <v>0</v>
      </c>
      <c r="GJ56" s="191"/>
      <c r="GK56" s="192">
        <f>SUM((GE5*GC18/GC27)+(GE6*GC24/GC27)+(GE7*GC26/GC27))*(Data!FJ140)</f>
        <v>0</v>
      </c>
      <c r="GL56" s="244">
        <f>$N65</f>
        <v>0</v>
      </c>
      <c r="GM56" s="244">
        <f>$O65</f>
        <v>0</v>
      </c>
      <c r="GN56" s="244">
        <f>$P65</f>
        <v>0</v>
      </c>
      <c r="GQ56" s="298" t="s">
        <v>144</v>
      </c>
      <c r="GU56" s="168">
        <f>SUM(GU5*HB56)/100</f>
        <v>0</v>
      </c>
      <c r="GW56" s="168">
        <f>SUM(GU6*HC56)/100</f>
        <v>0</v>
      </c>
      <c r="GY56" s="191">
        <f>SUM(GU7*HD56)/100</f>
        <v>0</v>
      </c>
      <c r="GZ56" s="191"/>
      <c r="HA56" s="192">
        <f>SUM((GU5*GS18/GS27)+(GU6*GS24/GS27)+(GU7*GS26/GS27))*(Data!FZ140)</f>
        <v>0</v>
      </c>
      <c r="HB56" s="244">
        <f>$N65</f>
        <v>0</v>
      </c>
      <c r="HC56" s="244">
        <f>$O65</f>
        <v>0</v>
      </c>
      <c r="HD56" s="244">
        <f>$P65</f>
        <v>0</v>
      </c>
      <c r="HF56" s="172"/>
      <c r="HG56" s="172"/>
      <c r="HH56" s="172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2.75" x14ac:dyDescent="0.2">
      <c r="B57" s="202" t="s">
        <v>425</v>
      </c>
      <c r="J57" s="183"/>
      <c r="K57" s="183"/>
      <c r="M57" s="184">
        <f>IF(D36=0,0,(M53+M54+M55+M56)*Data!E126)</f>
        <v>9.9266500000000022</v>
      </c>
      <c r="N57" s="248"/>
      <c r="O57" s="248"/>
      <c r="P57" s="248"/>
      <c r="R57" s="913"/>
      <c r="V57" s="298" t="s">
        <v>146</v>
      </c>
      <c r="AD57" s="191"/>
      <c r="AE57" s="191"/>
      <c r="AF57" s="192">
        <f>$M66</f>
        <v>10</v>
      </c>
      <c r="AG57" s="244"/>
      <c r="AH57" s="244"/>
      <c r="AI57" s="244"/>
      <c r="AM57" s="298" t="s">
        <v>146</v>
      </c>
      <c r="AU57" s="191"/>
      <c r="AV57" s="191"/>
      <c r="AW57" s="192">
        <f>$M66</f>
        <v>10</v>
      </c>
      <c r="AX57" s="244"/>
      <c r="AY57" s="244"/>
      <c r="AZ57" s="244"/>
      <c r="BC57" s="298" t="s">
        <v>146</v>
      </c>
      <c r="BK57" s="191"/>
      <c r="BL57" s="191"/>
      <c r="BM57" s="192">
        <f>$M66</f>
        <v>10</v>
      </c>
      <c r="BN57" s="244"/>
      <c r="BO57" s="244"/>
      <c r="BP57" s="244"/>
      <c r="BS57" s="298" t="s">
        <v>146</v>
      </c>
      <c r="CA57" s="191"/>
      <c r="CB57" s="191"/>
      <c r="CC57" s="192">
        <f>$M66</f>
        <v>10</v>
      </c>
      <c r="CD57" s="244"/>
      <c r="CE57" s="244"/>
      <c r="CF57" s="244"/>
      <c r="CI57" s="298" t="s">
        <v>146</v>
      </c>
      <c r="CQ57" s="191"/>
      <c r="CR57" s="191"/>
      <c r="CS57" s="192">
        <f>$M66</f>
        <v>10</v>
      </c>
      <c r="CT57" s="244"/>
      <c r="CU57" s="244"/>
      <c r="CV57" s="244"/>
      <c r="CY57" s="298" t="s">
        <v>146</v>
      </c>
      <c r="DG57" s="191"/>
      <c r="DH57" s="191"/>
      <c r="DI57" s="192">
        <f>$M66</f>
        <v>10</v>
      </c>
      <c r="DJ57" s="244"/>
      <c r="DK57" s="244"/>
      <c r="DL57" s="244"/>
      <c r="DO57" s="298" t="s">
        <v>146</v>
      </c>
      <c r="DW57" s="191"/>
      <c r="DX57" s="191"/>
      <c r="DY57" s="192">
        <f>$M66</f>
        <v>10</v>
      </c>
      <c r="DZ57" s="244"/>
      <c r="EA57" s="244"/>
      <c r="EB57" s="244"/>
      <c r="EE57" s="298" t="s">
        <v>146</v>
      </c>
      <c r="EM57" s="191"/>
      <c r="EN57" s="191"/>
      <c r="EO57" s="192">
        <f>$M66</f>
        <v>10</v>
      </c>
      <c r="EP57" s="244"/>
      <c r="EQ57" s="244"/>
      <c r="ER57" s="244"/>
      <c r="EU57" s="298" t="s">
        <v>146</v>
      </c>
      <c r="FC57" s="191"/>
      <c r="FD57" s="191"/>
      <c r="FE57" s="192">
        <f>$M66</f>
        <v>10</v>
      </c>
      <c r="FF57" s="244"/>
      <c r="FG57" s="244"/>
      <c r="FH57" s="244"/>
      <c r="FK57" s="298" t="s">
        <v>146</v>
      </c>
      <c r="FS57" s="191"/>
      <c r="FT57" s="191"/>
      <c r="FU57" s="192">
        <f>$M66</f>
        <v>10</v>
      </c>
      <c r="FV57" s="244"/>
      <c r="FW57" s="244"/>
      <c r="FX57" s="244"/>
      <c r="GA57" s="298" t="s">
        <v>146</v>
      </c>
      <c r="GI57" s="191"/>
      <c r="GJ57" s="191"/>
      <c r="GK57" s="192">
        <f>$M66</f>
        <v>10</v>
      </c>
      <c r="GL57" s="244"/>
      <c r="GM57" s="244"/>
      <c r="GN57" s="244"/>
      <c r="GQ57" s="298" t="s">
        <v>146</v>
      </c>
      <c r="GY57" s="191"/>
      <c r="GZ57" s="191"/>
      <c r="HA57" s="192">
        <f>$M66</f>
        <v>10</v>
      </c>
      <c r="HB57" s="244"/>
      <c r="HC57" s="244"/>
      <c r="HD57" s="244"/>
      <c r="HF57" s="172"/>
      <c r="HG57" s="172"/>
      <c r="HH57" s="172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2.75" x14ac:dyDescent="0.2">
      <c r="B58" s="202" t="s">
        <v>426</v>
      </c>
      <c r="J58" s="183"/>
      <c r="K58" s="183"/>
      <c r="M58" s="184">
        <f>IF(D36=0,0,(Data!E125*Data!G125))</f>
        <v>180</v>
      </c>
      <c r="N58" s="248"/>
      <c r="O58" s="248"/>
      <c r="P58" s="248"/>
      <c r="R58" s="913"/>
      <c r="V58" s="298" t="s">
        <v>147</v>
      </c>
      <c r="AD58" s="191"/>
      <c r="AE58" s="191"/>
      <c r="AF58" s="192">
        <f>$M67</f>
        <v>15</v>
      </c>
      <c r="AG58" s="244"/>
      <c r="AH58" s="244"/>
      <c r="AI58" s="244"/>
      <c r="AM58" s="298" t="s">
        <v>147</v>
      </c>
      <c r="AU58" s="191"/>
      <c r="AV58" s="191"/>
      <c r="AW58" s="192">
        <f>$M67</f>
        <v>15</v>
      </c>
      <c r="AX58" s="244"/>
      <c r="AY58" s="244"/>
      <c r="AZ58" s="244"/>
      <c r="BC58" s="298" t="s">
        <v>147</v>
      </c>
      <c r="BK58" s="191"/>
      <c r="BL58" s="191"/>
      <c r="BM58" s="192">
        <f>$M67</f>
        <v>15</v>
      </c>
      <c r="BN58" s="244"/>
      <c r="BO58" s="244"/>
      <c r="BP58" s="244"/>
      <c r="BS58" s="298" t="s">
        <v>147</v>
      </c>
      <c r="CA58" s="191"/>
      <c r="CB58" s="191"/>
      <c r="CC58" s="192">
        <f>$M67</f>
        <v>15</v>
      </c>
      <c r="CD58" s="244"/>
      <c r="CE58" s="244"/>
      <c r="CF58" s="244"/>
      <c r="CI58" s="298" t="s">
        <v>147</v>
      </c>
      <c r="CQ58" s="191"/>
      <c r="CR58" s="191"/>
      <c r="CS58" s="192">
        <f>$M67</f>
        <v>15</v>
      </c>
      <c r="CT58" s="244"/>
      <c r="CU58" s="244"/>
      <c r="CV58" s="244"/>
      <c r="CY58" s="298" t="s">
        <v>147</v>
      </c>
      <c r="DG58" s="191"/>
      <c r="DH58" s="191"/>
      <c r="DI58" s="192">
        <f>$M67</f>
        <v>15</v>
      </c>
      <c r="DJ58" s="244"/>
      <c r="DK58" s="244"/>
      <c r="DL58" s="244"/>
      <c r="DO58" s="298" t="s">
        <v>147</v>
      </c>
      <c r="DW58" s="191"/>
      <c r="DX58" s="191"/>
      <c r="DY58" s="192">
        <f>$M67</f>
        <v>15</v>
      </c>
      <c r="DZ58" s="244"/>
      <c r="EA58" s="244"/>
      <c r="EB58" s="244"/>
      <c r="EE58" s="298" t="s">
        <v>147</v>
      </c>
      <c r="EM58" s="191"/>
      <c r="EN58" s="191"/>
      <c r="EO58" s="192">
        <f>$M67</f>
        <v>15</v>
      </c>
      <c r="EP58" s="244"/>
      <c r="EQ58" s="244"/>
      <c r="ER58" s="244"/>
      <c r="EU58" s="298" t="s">
        <v>147</v>
      </c>
      <c r="FC58" s="191"/>
      <c r="FD58" s="191"/>
      <c r="FE58" s="192">
        <f>$M67</f>
        <v>15</v>
      </c>
      <c r="FF58" s="244"/>
      <c r="FG58" s="244"/>
      <c r="FH58" s="244"/>
      <c r="FK58" s="298" t="s">
        <v>147</v>
      </c>
      <c r="FS58" s="191"/>
      <c r="FT58" s="191"/>
      <c r="FU58" s="192">
        <f>$M67</f>
        <v>15</v>
      </c>
      <c r="FV58" s="244"/>
      <c r="FW58" s="244"/>
      <c r="FX58" s="244"/>
      <c r="GA58" s="298" t="s">
        <v>147</v>
      </c>
      <c r="GI58" s="191"/>
      <c r="GJ58" s="191"/>
      <c r="GK58" s="192">
        <f>$M67</f>
        <v>15</v>
      </c>
      <c r="GL58" s="244"/>
      <c r="GM58" s="244"/>
      <c r="GN58" s="244"/>
      <c r="GQ58" s="298" t="s">
        <v>147</v>
      </c>
      <c r="GY58" s="191"/>
      <c r="GZ58" s="191"/>
      <c r="HA58" s="192">
        <f>$M67</f>
        <v>15</v>
      </c>
      <c r="HB58" s="244"/>
      <c r="HC58" s="244"/>
      <c r="HD58" s="244"/>
      <c r="HF58" s="172"/>
      <c r="HG58" s="172"/>
      <c r="HH58" s="172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2.75" x14ac:dyDescent="0.2">
      <c r="B59" s="257" t="s">
        <v>427</v>
      </c>
      <c r="C59" s="258"/>
      <c r="D59" s="258"/>
      <c r="E59" s="258"/>
      <c r="F59" s="258"/>
      <c r="G59" s="258"/>
      <c r="H59" s="258"/>
      <c r="I59" s="258"/>
      <c r="J59" s="259"/>
      <c r="K59" s="259"/>
      <c r="L59" s="251"/>
      <c r="M59" s="291">
        <f>SUM(M53:M58)</f>
        <v>388.45965000000001</v>
      </c>
      <c r="N59" s="292">
        <f>IF(H5=0,0,(M53+M54+M55+M56+M57+M58)/H5*100)</f>
        <v>0</v>
      </c>
      <c r="O59" s="292">
        <f>IF(H6=0,0,(M53+M54+M55+M56+M57+M58)/H6*100)</f>
        <v>0</v>
      </c>
      <c r="P59" s="292">
        <f>IF(H7=0,0,(M53+M54+M55+M56+M57+M58)/H7*100)*Data!E123</f>
        <v>0</v>
      </c>
      <c r="R59" s="913"/>
      <c r="V59" s="298" t="s">
        <v>428</v>
      </c>
      <c r="AD59" s="191"/>
      <c r="AE59" s="191"/>
      <c r="AF59" s="192">
        <f>$M68</f>
        <v>45</v>
      </c>
      <c r="AG59" s="244"/>
      <c r="AH59" s="244"/>
      <c r="AI59" s="244"/>
      <c r="AM59" s="298" t="s">
        <v>428</v>
      </c>
      <c r="AU59" s="191"/>
      <c r="AV59" s="191"/>
      <c r="AW59" s="192">
        <f>$M68</f>
        <v>45</v>
      </c>
      <c r="AX59" s="244"/>
      <c r="AY59" s="244"/>
      <c r="AZ59" s="244"/>
      <c r="BC59" s="298" t="s">
        <v>428</v>
      </c>
      <c r="BK59" s="191"/>
      <c r="BL59" s="191"/>
      <c r="BM59" s="192">
        <f>$M68</f>
        <v>45</v>
      </c>
      <c r="BN59" s="244"/>
      <c r="BO59" s="244"/>
      <c r="BP59" s="244"/>
      <c r="BS59" s="298" t="s">
        <v>428</v>
      </c>
      <c r="CA59" s="191"/>
      <c r="CB59" s="191"/>
      <c r="CC59" s="192">
        <f>$M68</f>
        <v>45</v>
      </c>
      <c r="CD59" s="244"/>
      <c r="CE59" s="244"/>
      <c r="CF59" s="244"/>
      <c r="CI59" s="298" t="s">
        <v>428</v>
      </c>
      <c r="CQ59" s="191"/>
      <c r="CR59" s="191"/>
      <c r="CS59" s="192">
        <f>$M68</f>
        <v>45</v>
      </c>
      <c r="CT59" s="244"/>
      <c r="CU59" s="244"/>
      <c r="CV59" s="244"/>
      <c r="CY59" s="298" t="s">
        <v>428</v>
      </c>
      <c r="DG59" s="191"/>
      <c r="DH59" s="191"/>
      <c r="DI59" s="192">
        <f>$M68</f>
        <v>45</v>
      </c>
      <c r="DJ59" s="244"/>
      <c r="DK59" s="244"/>
      <c r="DL59" s="244"/>
      <c r="DO59" s="298" t="s">
        <v>428</v>
      </c>
      <c r="DW59" s="191"/>
      <c r="DX59" s="191"/>
      <c r="DY59" s="192">
        <f>$M68</f>
        <v>45</v>
      </c>
      <c r="DZ59" s="244"/>
      <c r="EA59" s="244"/>
      <c r="EB59" s="244"/>
      <c r="EE59" s="298" t="s">
        <v>428</v>
      </c>
      <c r="EM59" s="191"/>
      <c r="EN59" s="191"/>
      <c r="EO59" s="192">
        <f>$M68</f>
        <v>45</v>
      </c>
      <c r="EP59" s="244"/>
      <c r="EQ59" s="244"/>
      <c r="ER59" s="244"/>
      <c r="EU59" s="298" t="s">
        <v>428</v>
      </c>
      <c r="FC59" s="191"/>
      <c r="FD59" s="191"/>
      <c r="FE59" s="192">
        <f>$M68</f>
        <v>45</v>
      </c>
      <c r="FF59" s="244"/>
      <c r="FG59" s="244"/>
      <c r="FH59" s="244"/>
      <c r="FK59" s="298" t="s">
        <v>428</v>
      </c>
      <c r="FS59" s="191"/>
      <c r="FT59" s="191"/>
      <c r="FU59" s="192">
        <f>$M68</f>
        <v>45</v>
      </c>
      <c r="FV59" s="244"/>
      <c r="FW59" s="244"/>
      <c r="FX59" s="244"/>
      <c r="GA59" s="298" t="s">
        <v>428</v>
      </c>
      <c r="GI59" s="191"/>
      <c r="GJ59" s="191"/>
      <c r="GK59" s="192">
        <f>$M68</f>
        <v>45</v>
      </c>
      <c r="GL59" s="244"/>
      <c r="GM59" s="244"/>
      <c r="GN59" s="244"/>
      <c r="GQ59" s="298" t="s">
        <v>428</v>
      </c>
      <c r="GY59" s="191"/>
      <c r="GZ59" s="191"/>
      <c r="HA59" s="192">
        <f>$M68</f>
        <v>45</v>
      </c>
      <c r="HB59" s="244"/>
      <c r="HC59" s="244"/>
      <c r="HD59" s="244"/>
      <c r="HF59" s="172"/>
      <c r="HG59" s="172"/>
      <c r="HH59" s="172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2.75" x14ac:dyDescent="0.2">
      <c r="B60" s="235" t="s">
        <v>131</v>
      </c>
      <c r="C60" s="220"/>
      <c r="D60" s="220"/>
      <c r="E60" s="220"/>
      <c r="F60" s="220"/>
      <c r="G60" s="220"/>
      <c r="H60" s="220"/>
      <c r="I60" s="220"/>
      <c r="J60" s="239"/>
      <c r="K60" s="239"/>
      <c r="M60" s="299">
        <f>IF(D36=0,0,(Data!I130+Data!I131))</f>
        <v>32</v>
      </c>
      <c r="N60" s="300">
        <f>IF(H5=0,0,(M60/H5*100))</f>
        <v>0</v>
      </c>
      <c r="O60" s="300">
        <f>IF(H6=0,0,(M60/H6*100))</f>
        <v>0</v>
      </c>
      <c r="P60" s="300">
        <f>IF(H7=0,0,(M60/H7*100))</f>
        <v>0</v>
      </c>
      <c r="R60" s="913"/>
      <c r="V60" s="298" t="s">
        <v>428</v>
      </c>
      <c r="AD60" s="191"/>
      <c r="AE60" s="191"/>
      <c r="AF60" s="192">
        <f>$M69</f>
        <v>0</v>
      </c>
      <c r="AG60" s="244"/>
      <c r="AH60" s="244"/>
      <c r="AI60" s="244"/>
      <c r="AM60" s="298" t="s">
        <v>428</v>
      </c>
      <c r="AU60" s="191"/>
      <c r="AV60" s="191"/>
      <c r="AW60" s="192">
        <f>$M69</f>
        <v>0</v>
      </c>
      <c r="AX60" s="244"/>
      <c r="AY60" s="244"/>
      <c r="AZ60" s="244"/>
      <c r="BC60" s="298" t="s">
        <v>428</v>
      </c>
      <c r="BK60" s="191"/>
      <c r="BL60" s="191"/>
      <c r="BM60" s="192">
        <f>$M69</f>
        <v>0</v>
      </c>
      <c r="BN60" s="244"/>
      <c r="BO60" s="244"/>
      <c r="BP60" s="244"/>
      <c r="BS60" s="298" t="s">
        <v>428</v>
      </c>
      <c r="CA60" s="191"/>
      <c r="CB60" s="191"/>
      <c r="CC60" s="192">
        <f>$M69</f>
        <v>0</v>
      </c>
      <c r="CD60" s="244"/>
      <c r="CE60" s="244"/>
      <c r="CF60" s="244"/>
      <c r="CI60" s="298" t="s">
        <v>428</v>
      </c>
      <c r="CQ60" s="191"/>
      <c r="CR60" s="191"/>
      <c r="CS60" s="192">
        <f>$M69</f>
        <v>0</v>
      </c>
      <c r="CT60" s="244"/>
      <c r="CU60" s="244"/>
      <c r="CV60" s="244"/>
      <c r="CY60" s="298" t="s">
        <v>428</v>
      </c>
      <c r="DG60" s="191"/>
      <c r="DH60" s="191"/>
      <c r="DI60" s="192">
        <f>$M69</f>
        <v>0</v>
      </c>
      <c r="DJ60" s="244"/>
      <c r="DK60" s="244"/>
      <c r="DL60" s="244"/>
      <c r="DO60" s="298" t="s">
        <v>428</v>
      </c>
      <c r="DW60" s="191"/>
      <c r="DX60" s="191"/>
      <c r="DY60" s="192">
        <f>$M69</f>
        <v>0</v>
      </c>
      <c r="DZ60" s="244"/>
      <c r="EA60" s="244"/>
      <c r="EB60" s="244"/>
      <c r="EE60" s="298" t="s">
        <v>428</v>
      </c>
      <c r="EM60" s="191"/>
      <c r="EN60" s="191"/>
      <c r="EO60" s="192">
        <f>$M69</f>
        <v>0</v>
      </c>
      <c r="EP60" s="244"/>
      <c r="EQ60" s="244"/>
      <c r="ER60" s="244"/>
      <c r="EU60" s="298" t="s">
        <v>428</v>
      </c>
      <c r="FC60" s="191"/>
      <c r="FD60" s="191"/>
      <c r="FE60" s="192">
        <f>$M69</f>
        <v>0</v>
      </c>
      <c r="FF60" s="244"/>
      <c r="FG60" s="244"/>
      <c r="FH60" s="244"/>
      <c r="FK60" s="298" t="s">
        <v>428</v>
      </c>
      <c r="FS60" s="191"/>
      <c r="FT60" s="191"/>
      <c r="FU60" s="192">
        <f>$M69</f>
        <v>0</v>
      </c>
      <c r="FV60" s="244"/>
      <c r="FW60" s="244"/>
      <c r="FX60" s="244"/>
      <c r="GA60" s="298" t="s">
        <v>428</v>
      </c>
      <c r="GI60" s="191"/>
      <c r="GJ60" s="191"/>
      <c r="GK60" s="192">
        <f>$M69</f>
        <v>0</v>
      </c>
      <c r="GL60" s="244"/>
      <c r="GM60" s="244"/>
      <c r="GN60" s="244"/>
      <c r="GQ60" s="298" t="s">
        <v>428</v>
      </c>
      <c r="GY60" s="191"/>
      <c r="GZ60" s="191"/>
      <c r="HA60" s="192">
        <f>$M69</f>
        <v>0</v>
      </c>
      <c r="HB60" s="244"/>
      <c r="HC60" s="244"/>
      <c r="HD60" s="244"/>
      <c r="HF60" s="172"/>
      <c r="HG60" s="172"/>
      <c r="HH60" s="172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2.75" x14ac:dyDescent="0.2">
      <c r="B61" s="235" t="s">
        <v>137</v>
      </c>
      <c r="C61" s="220"/>
      <c r="D61" s="220"/>
      <c r="E61" s="220"/>
      <c r="F61" s="220"/>
      <c r="G61" s="220" t="s">
        <v>429</v>
      </c>
      <c r="H61" s="220"/>
      <c r="I61" s="220"/>
      <c r="J61" s="239"/>
      <c r="K61" s="239"/>
      <c r="L61" s="240"/>
      <c r="M61" s="299">
        <f>IF(D36=0,0,(Data!E134*Data!H134))</f>
        <v>31.25</v>
      </c>
      <c r="N61" s="300">
        <f>IF(H5=0,0,(M61/H5*100))</f>
        <v>0</v>
      </c>
      <c r="O61" s="300">
        <f>IF(H6=0,0,(M61/H6*100))</f>
        <v>0</v>
      </c>
      <c r="P61" s="300">
        <f>IF(H7=0,0,(M61/H7*100))</f>
        <v>0</v>
      </c>
      <c r="R61" s="913"/>
      <c r="V61" s="298" t="s">
        <v>151</v>
      </c>
      <c r="Z61" s="168">
        <f>SUM(Data!U14+Data!U19)</f>
        <v>0</v>
      </c>
      <c r="AB61" s="301">
        <f>Data!U147*Data!V147</f>
        <v>0</v>
      </c>
      <c r="AD61" s="191"/>
      <c r="AE61" s="191"/>
      <c r="AF61" s="192">
        <f>$M70</f>
        <v>9.375</v>
      </c>
      <c r="AG61" s="267"/>
      <c r="AH61" s="267"/>
      <c r="AI61" s="267"/>
      <c r="AM61" s="298" t="s">
        <v>151</v>
      </c>
      <c r="AQ61" s="168">
        <f>SUM(Data!AK14+Data!AK19)</f>
        <v>0</v>
      </c>
      <c r="AS61" s="301">
        <f>Data!AK147*Data!AL147</f>
        <v>0</v>
      </c>
      <c r="AU61" s="191"/>
      <c r="AV61" s="191"/>
      <c r="AW61" s="192">
        <f>$M70</f>
        <v>9.375</v>
      </c>
      <c r="AX61" s="267"/>
      <c r="AY61" s="267"/>
      <c r="AZ61" s="267"/>
      <c r="BC61" s="298" t="s">
        <v>151</v>
      </c>
      <c r="BG61" s="168">
        <f>SUM(Data!BA14+Data!BA19)</f>
        <v>0</v>
      </c>
      <c r="BI61" s="301">
        <f>Data!BA147*Data!BB147</f>
        <v>0</v>
      </c>
      <c r="BK61" s="191"/>
      <c r="BL61" s="191"/>
      <c r="BM61" s="192">
        <f>$M70</f>
        <v>9.375</v>
      </c>
      <c r="BN61" s="267"/>
      <c r="BO61" s="267"/>
      <c r="BP61" s="267"/>
      <c r="BS61" s="298" t="s">
        <v>151</v>
      </c>
      <c r="BW61" s="168">
        <f>SUM(Data!BQ14+Data!BQ19)</f>
        <v>0</v>
      </c>
      <c r="BY61" s="301">
        <f>Data!BQ147*Data!BR147</f>
        <v>0</v>
      </c>
      <c r="CA61" s="191"/>
      <c r="CB61" s="191"/>
      <c r="CC61" s="192">
        <f>$M70</f>
        <v>9.375</v>
      </c>
      <c r="CD61" s="267"/>
      <c r="CE61" s="267"/>
      <c r="CF61" s="267"/>
      <c r="CI61" s="298" t="s">
        <v>151</v>
      </c>
      <c r="CM61" s="168">
        <f>SUM(Data!CG14+Data!CG19)</f>
        <v>0</v>
      </c>
      <c r="CO61" s="301">
        <f>Data!CG147*Data!CH147</f>
        <v>0</v>
      </c>
      <c r="CQ61" s="191"/>
      <c r="CR61" s="191"/>
      <c r="CS61" s="192">
        <f>$M70</f>
        <v>9.375</v>
      </c>
      <c r="CT61" s="267"/>
      <c r="CU61" s="267"/>
      <c r="CV61" s="267"/>
      <c r="CY61" s="298" t="s">
        <v>151</v>
      </c>
      <c r="DC61" s="168">
        <f>SUM(Data!CW14+Data!CW19)</f>
        <v>0</v>
      </c>
      <c r="DE61" s="301">
        <f>Data!CW147*Data!CX147</f>
        <v>0</v>
      </c>
      <c r="DG61" s="191"/>
      <c r="DH61" s="191"/>
      <c r="DI61" s="192">
        <f>$M70</f>
        <v>9.375</v>
      </c>
      <c r="DJ61" s="267"/>
      <c r="DK61" s="267"/>
      <c r="DL61" s="267"/>
      <c r="DO61" s="298" t="s">
        <v>151</v>
      </c>
      <c r="DS61" s="168">
        <f>SUM(Data!DM14+Data!DM19)</f>
        <v>0</v>
      </c>
      <c r="DU61" s="301">
        <f>Data!DM147*Data!DN147</f>
        <v>0</v>
      </c>
      <c r="DW61" s="191"/>
      <c r="DX61" s="191"/>
      <c r="DY61" s="192">
        <f>$M70</f>
        <v>9.375</v>
      </c>
      <c r="DZ61" s="267"/>
      <c r="EA61" s="267"/>
      <c r="EB61" s="267"/>
      <c r="EE61" s="298" t="s">
        <v>151</v>
      </c>
      <c r="EI61" s="168">
        <f>SUM(Data!EC14+Data!EC19)</f>
        <v>0</v>
      </c>
      <c r="EK61" s="301">
        <f>Data!EC147*Data!ED147</f>
        <v>0</v>
      </c>
      <c r="EM61" s="191"/>
      <c r="EN61" s="191"/>
      <c r="EO61" s="192">
        <f>$M70</f>
        <v>9.375</v>
      </c>
      <c r="EP61" s="267"/>
      <c r="EQ61" s="267"/>
      <c r="ER61" s="267"/>
      <c r="EU61" s="298" t="s">
        <v>151</v>
      </c>
      <c r="EY61" s="168">
        <f>SUM(Data!ES14+Data!ES19)</f>
        <v>0</v>
      </c>
      <c r="FA61" s="301">
        <f>Data!ES147*Data!ET147</f>
        <v>0</v>
      </c>
      <c r="FC61" s="191"/>
      <c r="FD61" s="191"/>
      <c r="FE61" s="192">
        <f>$M70</f>
        <v>9.375</v>
      </c>
      <c r="FF61" s="267"/>
      <c r="FG61" s="267"/>
      <c r="FH61" s="267"/>
      <c r="FK61" s="298" t="s">
        <v>151</v>
      </c>
      <c r="FO61" s="168">
        <f>SUM(Data!FI14+Data!FI19)</f>
        <v>0</v>
      </c>
      <c r="FQ61" s="301">
        <f>Data!FI147*Data!FJ147</f>
        <v>0</v>
      </c>
      <c r="FS61" s="191"/>
      <c r="FT61" s="191"/>
      <c r="FU61" s="192">
        <f>$M70</f>
        <v>9.375</v>
      </c>
      <c r="FV61" s="267"/>
      <c r="FW61" s="267"/>
      <c r="FX61" s="267"/>
      <c r="GA61" s="298" t="s">
        <v>151</v>
      </c>
      <c r="GE61" s="168">
        <f>SUM(Data!FY14+Data!FY19)</f>
        <v>0</v>
      </c>
      <c r="GG61" s="301">
        <f>Data!FY147*Data!FZ147</f>
        <v>0</v>
      </c>
      <c r="GI61" s="191"/>
      <c r="GJ61" s="191"/>
      <c r="GK61" s="192">
        <f>$M70</f>
        <v>9.375</v>
      </c>
      <c r="GL61" s="267"/>
      <c r="GM61" s="267"/>
      <c r="GN61" s="267"/>
      <c r="GQ61" s="298" t="s">
        <v>151</v>
      </c>
      <c r="GU61" s="168">
        <f>SUM(Data!GO14+Data!GO19)</f>
        <v>0</v>
      </c>
      <c r="GW61" s="301">
        <f>Data!GO147*Data!GP147</f>
        <v>0</v>
      </c>
      <c r="GY61" s="191"/>
      <c r="GZ61" s="191"/>
      <c r="HA61" s="192">
        <f>$M70</f>
        <v>9.375</v>
      </c>
      <c r="HB61" s="267"/>
      <c r="HC61" s="267"/>
      <c r="HD61" s="267"/>
      <c r="HF61" s="172"/>
      <c r="HG61" s="172"/>
      <c r="HH61" s="172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272" customFormat="1" ht="12.75" x14ac:dyDescent="0.2">
      <c r="A62" s="869"/>
      <c r="B62" s="287" t="s">
        <v>141</v>
      </c>
      <c r="C62" s="179"/>
      <c r="D62" s="179"/>
      <c r="E62" s="179"/>
      <c r="F62" s="179"/>
      <c r="G62" s="179"/>
      <c r="H62" s="179"/>
      <c r="I62" s="179"/>
      <c r="J62" s="288"/>
      <c r="K62" s="288"/>
      <c r="L62" s="163"/>
      <c r="M62" s="289"/>
      <c r="N62" s="290"/>
      <c r="O62" s="290"/>
      <c r="P62" s="290"/>
      <c r="Q62" s="912"/>
      <c r="R62" s="913"/>
      <c r="S62" s="167"/>
      <c r="T62" s="168"/>
      <c r="U62" s="168"/>
      <c r="V62" s="271" t="s">
        <v>430</v>
      </c>
      <c r="AD62" s="274"/>
      <c r="AE62" s="274"/>
      <c r="AF62" s="280"/>
      <c r="AG62" s="281">
        <f>IF(AB5=0,0,(AF57+AF58+AF59+AF61)/AB5*100)</f>
        <v>39.6875</v>
      </c>
      <c r="AH62" s="281">
        <f>IF(AB6=0,0,(AF57+AF58+AF59+AF61)/AB6*100)</f>
        <v>39.6875</v>
      </c>
      <c r="AI62" s="281">
        <f>IF(AB7=0,0,(AF57+AF58+AF60)/AB7*100)</f>
        <v>12.5</v>
      </c>
      <c r="AJ62" s="168"/>
      <c r="AK62" s="168"/>
      <c r="AL62" s="169"/>
      <c r="AM62" s="271" t="s">
        <v>430</v>
      </c>
      <c r="AU62" s="274"/>
      <c r="AV62" s="274"/>
      <c r="AW62" s="280"/>
      <c r="AX62" s="281">
        <f>IF(AS5=0,0,(AW57+AW58+AW59+AW61)/AS5*100)</f>
        <v>35.277777777777779</v>
      </c>
      <c r="AY62" s="281">
        <f>IF(AS6=0,0,(AW57+AW58+AW59+AW61)/AS6*100)</f>
        <v>35.277777777777779</v>
      </c>
      <c r="AZ62" s="281">
        <f>IF(AS7=0,0,(AW57+AW58+AW60)/AS7*100)</f>
        <v>11.111111111111111</v>
      </c>
      <c r="BA62" s="168"/>
      <c r="BB62" s="168"/>
      <c r="BC62" s="271" t="s">
        <v>430</v>
      </c>
      <c r="BK62" s="274"/>
      <c r="BL62" s="274"/>
      <c r="BM62" s="280"/>
      <c r="BN62" s="281">
        <f>IF(BI5=0,0,(BM57+BM58+BM59+BM61)/BI5*100)</f>
        <v>31.75</v>
      </c>
      <c r="BO62" s="281">
        <f>IF(BI6=0,0,(BM57+BM58+BM59+BM61)/BI6*100)</f>
        <v>31.75</v>
      </c>
      <c r="BP62" s="281">
        <f>IF(BI7=0,0,(BM57+BM58+BM60)/BI7*100)</f>
        <v>10</v>
      </c>
      <c r="BQ62" s="168"/>
      <c r="BR62" s="168"/>
      <c r="BS62" s="271" t="s">
        <v>430</v>
      </c>
      <c r="CA62" s="274"/>
      <c r="CB62" s="274"/>
      <c r="CC62" s="280"/>
      <c r="CD62" s="281">
        <f>IF(BY5=0,0,(CC57+CC58+CC59+CC61)/BY5*100)</f>
        <v>28.863636363636363</v>
      </c>
      <c r="CE62" s="281">
        <f>IF(BY6=0,0,(CC57+CC58+CC59+CC61)/BY6*100)</f>
        <v>28.863636363636363</v>
      </c>
      <c r="CF62" s="281">
        <f>IF(BY7=0,0,(CC57+CC58+CC60)/BY7*100)</f>
        <v>9.0909090909090917</v>
      </c>
      <c r="CG62" s="168"/>
      <c r="CH62" s="168"/>
      <c r="CI62" s="271" t="s">
        <v>430</v>
      </c>
      <c r="CQ62" s="274"/>
      <c r="CR62" s="274"/>
      <c r="CS62" s="280"/>
      <c r="CT62" s="281">
        <f>IF(CO5=0,0,(CS57+CS58+CS59+CS61)/CO5*100)</f>
        <v>26.458333333333332</v>
      </c>
      <c r="CU62" s="281">
        <f>IF(CO6=0,0,(CS57+CS58+CS59+CS61)/CO6*100)</f>
        <v>26.458333333333332</v>
      </c>
      <c r="CV62" s="281">
        <f>IF(CO7=0,0,(CS57+CS58+CS60)/CO7*100)</f>
        <v>8.3333333333333321</v>
      </c>
      <c r="CW62" s="168"/>
      <c r="CX62" s="168"/>
      <c r="CY62" s="271" t="s">
        <v>430</v>
      </c>
      <c r="DG62" s="274"/>
      <c r="DH62" s="274"/>
      <c r="DI62" s="280"/>
      <c r="DJ62" s="281">
        <f>IF(DE5=0,0,(DI57+DI58+DI59+DI61)/DE5*100)</f>
        <v>24.423076923076923</v>
      </c>
      <c r="DK62" s="281">
        <f>IF(DE6=0,0,(DI57+DI58+DI59+DI61)/DE6*100)</f>
        <v>24.423076923076923</v>
      </c>
      <c r="DL62" s="281">
        <f>IF(DE7=0,0,(DI57+DI58+DI60)/DE7*100)</f>
        <v>7.6923076923076925</v>
      </c>
      <c r="DM62" s="168"/>
      <c r="DN62" s="168"/>
      <c r="DO62" s="271" t="s">
        <v>430</v>
      </c>
      <c r="DW62" s="274"/>
      <c r="DX62" s="274"/>
      <c r="DY62" s="280"/>
      <c r="DZ62" s="281">
        <f>IF(DU5=0,0,(DY57+DY58+DY59+DY61)/DU5*100)</f>
        <v>22.678571428571427</v>
      </c>
      <c r="EA62" s="281">
        <f>IF(DU6=0,0,(DY57+DY58+DY59+DY61)/DU6*100)</f>
        <v>22.678571428571427</v>
      </c>
      <c r="EB62" s="281">
        <f>IF(DU7=0,0,(DY57+DY58+DY60)/DU7*100)</f>
        <v>7.1428571428571423</v>
      </c>
      <c r="EC62" s="168"/>
      <c r="ED62" s="168"/>
      <c r="EE62" s="271" t="s">
        <v>430</v>
      </c>
      <c r="EM62" s="274"/>
      <c r="EN62" s="274"/>
      <c r="EO62" s="280"/>
      <c r="EP62" s="281">
        <f>IF(EK5=0,0,(EO57+EO58+EO59+EO61)/EK5*100)</f>
        <v>21.166666666666668</v>
      </c>
      <c r="EQ62" s="281">
        <f>IF(EK6=0,0,(EO57+EO58+EO59+EO61)/EK6*100)</f>
        <v>21.166666666666668</v>
      </c>
      <c r="ER62" s="281">
        <f>IF(EK7=0,0,(EO57+EO58+EO60)/EK7*100)</f>
        <v>6.666666666666667</v>
      </c>
      <c r="ES62" s="168"/>
      <c r="ET62" s="168"/>
      <c r="EU62" s="271" t="s">
        <v>430</v>
      </c>
      <c r="FC62" s="274"/>
      <c r="FD62" s="274"/>
      <c r="FE62" s="280"/>
      <c r="FF62" s="281">
        <f>IF(FA5=0,0,(FE57+FE58+FE59+FE61)/FA5*100)</f>
        <v>19.84375</v>
      </c>
      <c r="FG62" s="281">
        <f>IF(FA6=0,0,(FE57+FE58+FE59+FE61)/FA6*100)</f>
        <v>19.84375</v>
      </c>
      <c r="FH62" s="281">
        <f>IF(FA7=0,0,(FE57+FE58+FE60)/FA7*100)</f>
        <v>6.25</v>
      </c>
      <c r="FI62" s="168"/>
      <c r="FJ62" s="168"/>
      <c r="FK62" s="271" t="s">
        <v>430</v>
      </c>
      <c r="FS62" s="274"/>
      <c r="FT62" s="274"/>
      <c r="FU62" s="280"/>
      <c r="FV62" s="281">
        <f>IF(FQ5=0,0,(FU57+FU58+FU59+FU61)/FQ5*100)</f>
        <v>18.676470588235293</v>
      </c>
      <c r="FW62" s="281">
        <f>IF(FQ6=0,0,(FU57+FU58+FU59+FU61)/FQ6*100)</f>
        <v>18.676470588235293</v>
      </c>
      <c r="FX62" s="281">
        <f>IF(FQ7=0,0,(FU57+FU58+FU60)/FQ7*100)</f>
        <v>5.8823529411764701</v>
      </c>
      <c r="FY62" s="168"/>
      <c r="FZ62" s="168"/>
      <c r="GA62" s="271" t="s">
        <v>430</v>
      </c>
      <c r="GI62" s="274"/>
      <c r="GJ62" s="274"/>
      <c r="GK62" s="280"/>
      <c r="GL62" s="281">
        <f>IF(GG5=0,0,(GK57+GK58+GK59+GK61)/GG5*100)</f>
        <v>17.638888888888889</v>
      </c>
      <c r="GM62" s="281">
        <f>IF(GG6=0,0,(GK57+GK58+GK59+GK61)/GG6*100)</f>
        <v>17.638888888888889</v>
      </c>
      <c r="GN62" s="281">
        <f>IF(GG7=0,0,(GK57+GK58+GK60)/GG7*100)</f>
        <v>5.5555555555555554</v>
      </c>
      <c r="GO62" s="168"/>
      <c r="GP62" s="168"/>
      <c r="GQ62" s="271" t="s">
        <v>430</v>
      </c>
      <c r="GY62" s="274"/>
      <c r="GZ62" s="274"/>
      <c r="HA62" s="280"/>
      <c r="HB62" s="281">
        <f>IF(GW5=0,0,(HA57+HA58+HA59+HA61)/GW5*100)</f>
        <v>16.710526315789473</v>
      </c>
      <c r="HC62" s="281">
        <f>IF(GW6=0,0,(HA57+HA58+HA59+HA61)/GW6*100)</f>
        <v>16.710526315789473</v>
      </c>
      <c r="HD62" s="281">
        <f>IF(GW7=0,0,(HA57+HA58+HA60)/GW7*100)</f>
        <v>5.2631578947368416</v>
      </c>
      <c r="HE62" s="168"/>
      <c r="HF62" s="172"/>
      <c r="HG62" s="172"/>
      <c r="HH62" s="17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187" customFormat="1" ht="12.75" x14ac:dyDescent="0.2">
      <c r="A63" s="869"/>
      <c r="B63" s="302" t="s">
        <v>142</v>
      </c>
      <c r="C63" s="162"/>
      <c r="D63" s="168"/>
      <c r="E63" s="168"/>
      <c r="F63" s="168" t="e">
        <f>SUM(F5*N63)/100</f>
        <v>#DIV/0!</v>
      </c>
      <c r="G63" s="168"/>
      <c r="H63" s="168" t="e">
        <f>SUM(F6*O63)/100</f>
        <v>#DIV/0!</v>
      </c>
      <c r="I63" s="168"/>
      <c r="J63" s="191">
        <f>SUM(F7*P63)/100</f>
        <v>0</v>
      </c>
      <c r="K63" s="183"/>
      <c r="L63" s="163"/>
      <c r="M63" s="184">
        <f>SUM((F5*D23/D36)+(F6*D33/D36)+(F7*D35/D36))*(Data!E138)</f>
        <v>0</v>
      </c>
      <c r="N63" s="248" t="e">
        <f>IF(Data!E14=0,0,(Data!E138*(F5/H5)))*100</f>
        <v>#DIV/0!</v>
      </c>
      <c r="O63" s="248" t="e">
        <f>IF(Data!E19=0,0,(Data!E138*(F6/H6)))*100</f>
        <v>#DIV/0!</v>
      </c>
      <c r="P63" s="248">
        <f>IF(Data!E20=0,0,(Data!E138*(F7/H7)))*100</f>
        <v>0</v>
      </c>
      <c r="Q63" s="912"/>
      <c r="R63" s="913"/>
      <c r="S63" s="167"/>
      <c r="T63" s="168"/>
      <c r="U63" s="168"/>
      <c r="V63" s="276" t="s">
        <v>153</v>
      </c>
      <c r="Z63" s="303">
        <f>SUM(Data!U33*Data!U150)</f>
        <v>0</v>
      </c>
      <c r="AB63" s="303">
        <f>SUM(Data!U38*Data!U150)</f>
        <v>0</v>
      </c>
      <c r="AD63" s="277"/>
      <c r="AE63" s="277"/>
      <c r="AF63" s="278"/>
      <c r="AG63" s="279"/>
      <c r="AH63" s="279"/>
      <c r="AI63" s="279"/>
      <c r="AJ63" s="168"/>
      <c r="AK63" s="168"/>
      <c r="AL63" s="169"/>
      <c r="AM63" s="276" t="s">
        <v>153</v>
      </c>
      <c r="AQ63" s="303">
        <f>SUM(Data!AK33*Data!AK150)</f>
        <v>0</v>
      </c>
      <c r="AS63" s="303">
        <f>SUM(Data!AK38*Data!AK150)</f>
        <v>0</v>
      </c>
      <c r="AU63" s="277"/>
      <c r="AV63" s="277"/>
      <c r="AW63" s="278"/>
      <c r="AX63" s="279"/>
      <c r="AY63" s="279"/>
      <c r="AZ63" s="279"/>
      <c r="BA63" s="168"/>
      <c r="BB63" s="168"/>
      <c r="BC63" s="276" t="s">
        <v>153</v>
      </c>
      <c r="BG63" s="303">
        <f>SUM(Data!BA33*Data!BA150)</f>
        <v>0</v>
      </c>
      <c r="BI63" s="303">
        <f>SUM(Data!BA38*Data!BA150)</f>
        <v>0</v>
      </c>
      <c r="BK63" s="277"/>
      <c r="BL63" s="277"/>
      <c r="BM63" s="278"/>
      <c r="BN63" s="279"/>
      <c r="BO63" s="279"/>
      <c r="BP63" s="279"/>
      <c r="BQ63" s="168"/>
      <c r="BR63" s="168"/>
      <c r="BS63" s="276" t="s">
        <v>153</v>
      </c>
      <c r="BW63" s="303">
        <f>SUM(Data!BQ33*Data!BQ150)</f>
        <v>0</v>
      </c>
      <c r="BY63" s="303">
        <f>SUM(Data!BQ38*Data!BQ150)</f>
        <v>0</v>
      </c>
      <c r="CA63" s="277"/>
      <c r="CB63" s="277"/>
      <c r="CC63" s="278"/>
      <c r="CD63" s="279"/>
      <c r="CE63" s="279"/>
      <c r="CF63" s="279"/>
      <c r="CG63" s="168"/>
      <c r="CH63" s="168"/>
      <c r="CI63" s="276" t="s">
        <v>153</v>
      </c>
      <c r="CM63" s="303">
        <f>SUM(Data!CG33*Data!CG150)</f>
        <v>0</v>
      </c>
      <c r="CO63" s="303">
        <f>SUM(Data!CG38*Data!CG150)</f>
        <v>0</v>
      </c>
      <c r="CQ63" s="277"/>
      <c r="CR63" s="277"/>
      <c r="CS63" s="278"/>
      <c r="CT63" s="279"/>
      <c r="CU63" s="279"/>
      <c r="CV63" s="279"/>
      <c r="CW63" s="168"/>
      <c r="CX63" s="168"/>
      <c r="CY63" s="276" t="s">
        <v>153</v>
      </c>
      <c r="DC63" s="303">
        <f>SUM(Data!CW33*Data!CW150)</f>
        <v>0</v>
      </c>
      <c r="DE63" s="303">
        <f>SUM(Data!CW38*Data!CW150)</f>
        <v>0</v>
      </c>
      <c r="DG63" s="277"/>
      <c r="DH63" s="277"/>
      <c r="DI63" s="278"/>
      <c r="DJ63" s="279"/>
      <c r="DK63" s="279"/>
      <c r="DL63" s="279"/>
      <c r="DM63" s="168"/>
      <c r="DN63" s="168"/>
      <c r="DO63" s="276" t="s">
        <v>153</v>
      </c>
      <c r="DS63" s="303">
        <f>SUM(Data!DM33*Data!DM150)</f>
        <v>0</v>
      </c>
      <c r="DU63" s="303">
        <f>SUM(Data!DM38*Data!DM150)</f>
        <v>0</v>
      </c>
      <c r="DW63" s="277"/>
      <c r="DX63" s="277"/>
      <c r="DY63" s="278"/>
      <c r="DZ63" s="279"/>
      <c r="EA63" s="279"/>
      <c r="EB63" s="279"/>
      <c r="EC63" s="168"/>
      <c r="ED63" s="168"/>
      <c r="EE63" s="276" t="s">
        <v>153</v>
      </c>
      <c r="EI63" s="303">
        <f>SUM(Data!EC33*Data!EC150)</f>
        <v>0</v>
      </c>
      <c r="EK63" s="303">
        <f>SUM(Data!EC38*Data!EC150)</f>
        <v>0</v>
      </c>
      <c r="EM63" s="277"/>
      <c r="EN63" s="277"/>
      <c r="EO63" s="278"/>
      <c r="EP63" s="279"/>
      <c r="EQ63" s="279"/>
      <c r="ER63" s="279"/>
      <c r="ES63" s="168"/>
      <c r="ET63" s="168"/>
      <c r="EU63" s="276" t="s">
        <v>153</v>
      </c>
      <c r="EY63" s="303">
        <f>SUM(Data!ES33*Data!ES150)</f>
        <v>0</v>
      </c>
      <c r="FA63" s="303">
        <f>SUM(Data!ES38*Data!ES150)</f>
        <v>0</v>
      </c>
      <c r="FC63" s="277"/>
      <c r="FD63" s="277"/>
      <c r="FE63" s="278"/>
      <c r="FF63" s="279"/>
      <c r="FG63" s="279"/>
      <c r="FH63" s="279"/>
      <c r="FI63" s="168"/>
      <c r="FJ63" s="168"/>
      <c r="FK63" s="276" t="s">
        <v>153</v>
      </c>
      <c r="FO63" s="303">
        <f>SUM(Data!FI33*Data!FI150)</f>
        <v>0</v>
      </c>
      <c r="FQ63" s="303">
        <f>SUM(Data!FI38*Data!FI150)</f>
        <v>0</v>
      </c>
      <c r="FS63" s="277"/>
      <c r="FT63" s="277"/>
      <c r="FU63" s="278"/>
      <c r="FV63" s="279"/>
      <c r="FW63" s="279"/>
      <c r="FX63" s="279"/>
      <c r="FY63" s="168"/>
      <c r="FZ63" s="168"/>
      <c r="GA63" s="276" t="s">
        <v>153</v>
      </c>
      <c r="GE63" s="303">
        <f>SUM(Data!FY33*Data!FY150)</f>
        <v>0</v>
      </c>
      <c r="GG63" s="303">
        <f>SUM(Data!FY38*Data!FY150)</f>
        <v>0</v>
      </c>
      <c r="GI63" s="277"/>
      <c r="GJ63" s="277"/>
      <c r="GK63" s="278"/>
      <c r="GL63" s="279"/>
      <c r="GM63" s="279"/>
      <c r="GN63" s="279"/>
      <c r="GO63" s="168"/>
      <c r="GP63" s="168"/>
      <c r="GQ63" s="276" t="s">
        <v>153</v>
      </c>
      <c r="GU63" s="303">
        <f>SUM(Data!GO33*Data!GO150)</f>
        <v>0</v>
      </c>
      <c r="GW63" s="303">
        <f>SUM(Data!GO38*Data!GO150)</f>
        <v>0</v>
      </c>
      <c r="GY63" s="277"/>
      <c r="GZ63" s="277"/>
      <c r="HA63" s="278"/>
      <c r="HB63" s="279"/>
      <c r="HC63" s="279"/>
      <c r="HD63" s="279"/>
      <c r="HE63" s="168"/>
      <c r="HF63" s="172"/>
      <c r="HG63" s="172"/>
      <c r="HH63" s="172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2.75" x14ac:dyDescent="0.2">
      <c r="B64" s="302" t="s">
        <v>143</v>
      </c>
      <c r="D64" s="168"/>
      <c r="E64" s="168"/>
      <c r="F64" s="168">
        <f>SUM(F5*N64)/100</f>
        <v>0</v>
      </c>
      <c r="G64" s="168"/>
      <c r="H64" s="168">
        <f>SUM(F6*O64)/100</f>
        <v>0</v>
      </c>
      <c r="I64" s="168"/>
      <c r="J64" s="191">
        <f>SUM(F7*P64)/100</f>
        <v>0</v>
      </c>
      <c r="K64" s="183"/>
      <c r="M64" s="184">
        <f>SUM((F5*D23/D36)+(F6*D33/D36)+(F7*D35/D36))*(Data!E139)</f>
        <v>0</v>
      </c>
      <c r="N64" s="248">
        <f>IF(F5=0,0,Data!E139)*100</f>
        <v>0</v>
      </c>
      <c r="O64" s="248">
        <f>IF(F6=0,0,Data!E139)*100</f>
        <v>0</v>
      </c>
      <c r="P64" s="248">
        <f>IF(F7=0,0,Data!E139)*100</f>
        <v>0</v>
      </c>
      <c r="R64" s="913"/>
      <c r="V64" s="206" t="s">
        <v>154</v>
      </c>
      <c r="X64" s="168" t="s">
        <v>377</v>
      </c>
      <c r="Z64" s="242">
        <f>IF(Data!U14=0,0,Data!U150*Data!W33)</f>
        <v>0</v>
      </c>
      <c r="AB64" s="168" t="s">
        <v>379</v>
      </c>
      <c r="AC64" s="249"/>
      <c r="AD64" s="304">
        <f>IF(Data!U19=0,0,Data!U150*Data!W38)</f>
        <v>0</v>
      </c>
      <c r="AE64" s="191"/>
      <c r="AF64" s="192">
        <f>$M73</f>
        <v>24.794999999999998</v>
      </c>
      <c r="AG64" s="244" t="e">
        <f>$N73</f>
        <v>#DIV/0!</v>
      </c>
      <c r="AH64" s="244" t="e">
        <f>$O73</f>
        <v>#DIV/0!</v>
      </c>
      <c r="AI64" s="244"/>
      <c r="AM64" s="206" t="s">
        <v>154</v>
      </c>
      <c r="AO64" s="168" t="s">
        <v>377</v>
      </c>
      <c r="AQ64" s="242">
        <f>IF(Data!AK14=0,0,Data!AK150*Data!AM33)</f>
        <v>0</v>
      </c>
      <c r="AS64" s="168" t="s">
        <v>379</v>
      </c>
      <c r="AT64" s="249"/>
      <c r="AU64" s="304">
        <f>IF(Data!AK19=0,0,Data!AK150*Data!AM38)</f>
        <v>0</v>
      </c>
      <c r="AV64" s="191"/>
      <c r="AW64" s="192">
        <f>$M73</f>
        <v>24.794999999999998</v>
      </c>
      <c r="AX64" s="244" t="e">
        <f>$N73</f>
        <v>#DIV/0!</v>
      </c>
      <c r="AY64" s="244" t="e">
        <f>$O73</f>
        <v>#DIV/0!</v>
      </c>
      <c r="AZ64" s="244"/>
      <c r="BC64" s="206" t="s">
        <v>154</v>
      </c>
      <c r="BE64" s="168" t="s">
        <v>377</v>
      </c>
      <c r="BG64" s="242">
        <f>IF(Data!BA14=0,0,Data!BA150*Data!BC33)</f>
        <v>0</v>
      </c>
      <c r="BI64" s="168" t="s">
        <v>379</v>
      </c>
      <c r="BJ64" s="249"/>
      <c r="BK64" s="304">
        <f>IF(Data!BA19=0,0,Data!BA150*Data!BC38)</f>
        <v>0</v>
      </c>
      <c r="BL64" s="191"/>
      <c r="BM64" s="192">
        <f>$M73</f>
        <v>24.794999999999998</v>
      </c>
      <c r="BN64" s="244" t="e">
        <f>$N73</f>
        <v>#DIV/0!</v>
      </c>
      <c r="BO64" s="244" t="e">
        <f>$O73</f>
        <v>#DIV/0!</v>
      </c>
      <c r="BP64" s="244"/>
      <c r="BS64" s="206" t="s">
        <v>154</v>
      </c>
      <c r="BU64" s="168" t="s">
        <v>377</v>
      </c>
      <c r="BW64" s="242">
        <f>IF(Data!BQ14=0,0,Data!BQ150*Data!BS33)</f>
        <v>0</v>
      </c>
      <c r="BY64" s="168" t="s">
        <v>379</v>
      </c>
      <c r="BZ64" s="249"/>
      <c r="CA64" s="304">
        <f>IF(Data!BQ19=0,0,Data!BQ150*Data!BS38)</f>
        <v>0</v>
      </c>
      <c r="CB64" s="191"/>
      <c r="CC64" s="192">
        <f>$M73</f>
        <v>24.794999999999998</v>
      </c>
      <c r="CD64" s="244" t="e">
        <f>$N73</f>
        <v>#DIV/0!</v>
      </c>
      <c r="CE64" s="244" t="e">
        <f>$O73</f>
        <v>#DIV/0!</v>
      </c>
      <c r="CF64" s="244"/>
      <c r="CI64" s="206" t="s">
        <v>154</v>
      </c>
      <c r="CK64" s="168" t="s">
        <v>377</v>
      </c>
      <c r="CM64" s="242">
        <f>IF(Data!CG14=0,0,Data!CG150*Data!CI33)</f>
        <v>0</v>
      </c>
      <c r="CO64" s="168" t="s">
        <v>379</v>
      </c>
      <c r="CP64" s="249"/>
      <c r="CQ64" s="304">
        <f>IF(Data!CG19=0,0,Data!CG150*Data!CI38)</f>
        <v>0</v>
      </c>
      <c r="CR64" s="191"/>
      <c r="CS64" s="192">
        <f>$M73</f>
        <v>24.794999999999998</v>
      </c>
      <c r="CT64" s="244" t="e">
        <f>$N73</f>
        <v>#DIV/0!</v>
      </c>
      <c r="CU64" s="244" t="e">
        <f>$O73</f>
        <v>#DIV/0!</v>
      </c>
      <c r="CV64" s="244"/>
      <c r="CY64" s="206" t="s">
        <v>154</v>
      </c>
      <c r="DA64" s="168" t="s">
        <v>377</v>
      </c>
      <c r="DC64" s="242">
        <f>IF(Data!CW14=0,0,Data!CW150*Data!CY33)</f>
        <v>0</v>
      </c>
      <c r="DE64" s="168" t="s">
        <v>379</v>
      </c>
      <c r="DF64" s="249"/>
      <c r="DG64" s="304">
        <f>IF(Data!CW19=0,0,Data!CW150*Data!CY38)</f>
        <v>0</v>
      </c>
      <c r="DH64" s="191"/>
      <c r="DI64" s="192">
        <f>$M73</f>
        <v>24.794999999999998</v>
      </c>
      <c r="DJ64" s="244" t="e">
        <f>$N73</f>
        <v>#DIV/0!</v>
      </c>
      <c r="DK64" s="244" t="e">
        <f>$O73</f>
        <v>#DIV/0!</v>
      </c>
      <c r="DL64" s="244"/>
      <c r="DO64" s="206" t="s">
        <v>154</v>
      </c>
      <c r="DQ64" s="168" t="s">
        <v>377</v>
      </c>
      <c r="DS64" s="242">
        <f>IF(Data!DM14=0,0,Data!DM150*Data!DO33)</f>
        <v>0</v>
      </c>
      <c r="DU64" s="168" t="s">
        <v>379</v>
      </c>
      <c r="DV64" s="249"/>
      <c r="DW64" s="304">
        <f>IF(Data!DM19=0,0,Data!DM150*Data!DO38)</f>
        <v>0</v>
      </c>
      <c r="DX64" s="191"/>
      <c r="DY64" s="192">
        <f>$M73</f>
        <v>24.794999999999998</v>
      </c>
      <c r="DZ64" s="244" t="e">
        <f>$N73</f>
        <v>#DIV/0!</v>
      </c>
      <c r="EA64" s="244" t="e">
        <f>$O73</f>
        <v>#DIV/0!</v>
      </c>
      <c r="EB64" s="244"/>
      <c r="EE64" s="206" t="s">
        <v>154</v>
      </c>
      <c r="EG64" s="168" t="s">
        <v>377</v>
      </c>
      <c r="EI64" s="242">
        <f>IF(Data!EC14=0,0,Data!EC150*Data!EE33)</f>
        <v>0</v>
      </c>
      <c r="EK64" s="168" t="s">
        <v>379</v>
      </c>
      <c r="EL64" s="249"/>
      <c r="EM64" s="304">
        <f>IF(Data!EC19=0,0,Data!EC150*Data!EE38)</f>
        <v>0</v>
      </c>
      <c r="EN64" s="191"/>
      <c r="EO64" s="192">
        <f>$M73</f>
        <v>24.794999999999998</v>
      </c>
      <c r="EP64" s="244" t="e">
        <f>$N73</f>
        <v>#DIV/0!</v>
      </c>
      <c r="EQ64" s="244" t="e">
        <f>$O73</f>
        <v>#DIV/0!</v>
      </c>
      <c r="ER64" s="244"/>
      <c r="EU64" s="206" t="s">
        <v>154</v>
      </c>
      <c r="EW64" s="168" t="s">
        <v>377</v>
      </c>
      <c r="EY64" s="242">
        <f>IF(Data!ES14=0,0,Data!ES150*Data!EU33)</f>
        <v>0</v>
      </c>
      <c r="FA64" s="168" t="s">
        <v>379</v>
      </c>
      <c r="FB64" s="249"/>
      <c r="FC64" s="304">
        <f>IF(Data!ES19=0,0,Data!ES150*Data!EU38)</f>
        <v>0</v>
      </c>
      <c r="FD64" s="191"/>
      <c r="FE64" s="192">
        <f>$M73</f>
        <v>24.794999999999998</v>
      </c>
      <c r="FF64" s="244" t="e">
        <f>$N73</f>
        <v>#DIV/0!</v>
      </c>
      <c r="FG64" s="244" t="e">
        <f>$O73</f>
        <v>#DIV/0!</v>
      </c>
      <c r="FH64" s="244"/>
      <c r="FK64" s="206" t="s">
        <v>154</v>
      </c>
      <c r="FM64" s="168" t="s">
        <v>377</v>
      </c>
      <c r="FO64" s="242">
        <f>IF(Data!FI14=0,0,Data!FI150*Data!FK33)</f>
        <v>0</v>
      </c>
      <c r="FQ64" s="168" t="s">
        <v>379</v>
      </c>
      <c r="FR64" s="249"/>
      <c r="FS64" s="304">
        <f>IF(Data!FI19=0,0,Data!FI150*Data!FK38)</f>
        <v>0</v>
      </c>
      <c r="FT64" s="191"/>
      <c r="FU64" s="192">
        <f>$M73</f>
        <v>24.794999999999998</v>
      </c>
      <c r="FV64" s="244" t="e">
        <f>$N73</f>
        <v>#DIV/0!</v>
      </c>
      <c r="FW64" s="244" t="e">
        <f>$O73</f>
        <v>#DIV/0!</v>
      </c>
      <c r="FX64" s="244"/>
      <c r="GA64" s="206" t="s">
        <v>154</v>
      </c>
      <c r="GC64" s="168" t="s">
        <v>377</v>
      </c>
      <c r="GE64" s="242">
        <f>IF(Data!FY14=0,0,Data!FY150*Data!GA33)</f>
        <v>0</v>
      </c>
      <c r="GG64" s="168" t="s">
        <v>379</v>
      </c>
      <c r="GH64" s="249"/>
      <c r="GI64" s="304">
        <f>IF(Data!FY19=0,0,Data!FY150*Data!GA38)</f>
        <v>0</v>
      </c>
      <c r="GJ64" s="191"/>
      <c r="GK64" s="192">
        <f>$M73</f>
        <v>24.794999999999998</v>
      </c>
      <c r="GL64" s="244" t="e">
        <f>$N73</f>
        <v>#DIV/0!</v>
      </c>
      <c r="GM64" s="244" t="e">
        <f>$O73</f>
        <v>#DIV/0!</v>
      </c>
      <c r="GN64" s="244"/>
      <c r="GQ64" s="206" t="s">
        <v>154</v>
      </c>
      <c r="GS64" s="168" t="s">
        <v>377</v>
      </c>
      <c r="GU64" s="242">
        <f>IF(Data!GO14=0,0,Data!GO150*Data!GQ33)</f>
        <v>0</v>
      </c>
      <c r="GW64" s="168" t="s">
        <v>379</v>
      </c>
      <c r="GX64" s="249"/>
      <c r="GY64" s="304">
        <f>IF(Data!GO19=0,0,Data!GO150*Data!GQ38)</f>
        <v>0</v>
      </c>
      <c r="GZ64" s="191"/>
      <c r="HA64" s="192">
        <f>$M73</f>
        <v>24.794999999999998</v>
      </c>
      <c r="HB64" s="244" t="e">
        <f>$N73</f>
        <v>#DIV/0!</v>
      </c>
      <c r="HC64" s="244" t="e">
        <f>$O73</f>
        <v>#DIV/0!</v>
      </c>
      <c r="HD64" s="244"/>
      <c r="HF64" s="172"/>
      <c r="HG64" s="172"/>
      <c r="HH64" s="172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272" customFormat="1" ht="12.75" x14ac:dyDescent="0.2">
      <c r="A65" s="869"/>
      <c r="B65" s="302" t="s">
        <v>144</v>
      </c>
      <c r="C65" s="162"/>
      <c r="D65" s="168"/>
      <c r="E65" s="168"/>
      <c r="F65" s="168">
        <f>SUM(F5*N65)/100</f>
        <v>0</v>
      </c>
      <c r="G65" s="168"/>
      <c r="H65" s="168">
        <f>SUM(F6*O65)/100</f>
        <v>0</v>
      </c>
      <c r="I65" s="168"/>
      <c r="J65" s="191">
        <f>SUM(F7*P65)/100</f>
        <v>0</v>
      </c>
      <c r="K65" s="183"/>
      <c r="L65" s="163"/>
      <c r="M65" s="184">
        <f>SUM((F5*D23/D36)+(F6*D33/D36)+(F7*D35/D36))*(Data!E140)</f>
        <v>0</v>
      </c>
      <c r="N65" s="248">
        <f>IF(F5=0,0,Data!E140*Data!F140)*100</f>
        <v>0</v>
      </c>
      <c r="O65" s="248">
        <f>IF(F6=0,0,Data!E140*Data!F140)*100</f>
        <v>0</v>
      </c>
      <c r="P65" s="248">
        <f>IF(F7=0,0,Data!E140*Data!F140)*100</f>
        <v>0</v>
      </c>
      <c r="Q65" s="912"/>
      <c r="R65" s="913"/>
      <c r="S65" s="167"/>
      <c r="T65" s="168"/>
      <c r="U65" s="168"/>
      <c r="V65" s="271" t="s">
        <v>159</v>
      </c>
      <c r="Z65" s="272">
        <f>SUM(Data!V152*(Z5/1000))</f>
        <v>0</v>
      </c>
      <c r="AB65" s="272">
        <f>SUM(Data!V152*Z8)</f>
        <v>0</v>
      </c>
      <c r="AD65" s="274"/>
      <c r="AE65" s="274"/>
      <c r="AF65" s="280">
        <f>IF(X27=0,0,(F9*Data!F152)/X27)+(200/X27)</f>
        <v>1.25</v>
      </c>
      <c r="AG65" s="281">
        <f>$N74</f>
        <v>0</v>
      </c>
      <c r="AH65" s="281">
        <f>$O74</f>
        <v>0</v>
      </c>
      <c r="AI65" s="281">
        <f>$P74</f>
        <v>0</v>
      </c>
      <c r="AJ65" s="168"/>
      <c r="AK65" s="168"/>
      <c r="AL65" s="169"/>
      <c r="AM65" s="271" t="s">
        <v>159</v>
      </c>
      <c r="AQ65" s="272">
        <f>SUM(Data!AL152*(AQ5/1000))</f>
        <v>0</v>
      </c>
      <c r="AS65" s="272">
        <f>SUM(Data!AL152*AQ8)</f>
        <v>0</v>
      </c>
      <c r="AU65" s="274"/>
      <c r="AV65" s="274"/>
      <c r="AW65" s="280">
        <f>IF(AO27=0,0,(Y8*Data!V152)/AO27)+(200/AO27)</f>
        <v>1.25</v>
      </c>
      <c r="AX65" s="281">
        <f>$N74</f>
        <v>0</v>
      </c>
      <c r="AY65" s="281">
        <f>$O74</f>
        <v>0</v>
      </c>
      <c r="AZ65" s="281">
        <f>$P74</f>
        <v>0</v>
      </c>
      <c r="BA65" s="168"/>
      <c r="BB65" s="168"/>
      <c r="BC65" s="271" t="s">
        <v>159</v>
      </c>
      <c r="BG65" s="272">
        <f>SUM(Data!BB152*(BG5/1000))</f>
        <v>0</v>
      </c>
      <c r="BI65" s="272">
        <f>SUM(Data!BB152*BG8)</f>
        <v>0</v>
      </c>
      <c r="BK65" s="274"/>
      <c r="BL65" s="274"/>
      <c r="BM65" s="280">
        <f>IF(BE27=0,0,(AP8*Data!AL152)/BE27)+(200/BE27)</f>
        <v>1.25</v>
      </c>
      <c r="BN65" s="281">
        <f>$N74</f>
        <v>0</v>
      </c>
      <c r="BO65" s="281">
        <f>$O74</f>
        <v>0</v>
      </c>
      <c r="BP65" s="281">
        <f>$P74</f>
        <v>0</v>
      </c>
      <c r="BQ65" s="168"/>
      <c r="BR65" s="168"/>
      <c r="BS65" s="271" t="s">
        <v>159</v>
      </c>
      <c r="BW65" s="272">
        <f>SUM(Data!BR152*(BW5/1000))</f>
        <v>0</v>
      </c>
      <c r="BY65" s="272">
        <f>SUM(Data!BR152*BW8)</f>
        <v>0</v>
      </c>
      <c r="CA65" s="274"/>
      <c r="CB65" s="274"/>
      <c r="CC65" s="280">
        <f>IF(BU27=0,0,(BF8*Data!BB152)/BU27)+(200/BU27)</f>
        <v>1.25</v>
      </c>
      <c r="CD65" s="281">
        <f>$N74</f>
        <v>0</v>
      </c>
      <c r="CE65" s="281">
        <f>$O74</f>
        <v>0</v>
      </c>
      <c r="CF65" s="281">
        <f>$P74</f>
        <v>0</v>
      </c>
      <c r="CG65" s="168"/>
      <c r="CH65" s="168"/>
      <c r="CI65" s="271" t="s">
        <v>159</v>
      </c>
      <c r="CM65" s="272">
        <f>SUM(Data!CH152*(CM5/1000))</f>
        <v>0</v>
      </c>
      <c r="CO65" s="272">
        <f>SUM(Data!CH152*CM8)</f>
        <v>0</v>
      </c>
      <c r="CQ65" s="274"/>
      <c r="CR65" s="274"/>
      <c r="CS65" s="280">
        <f>IF(CK27=0,0,(BV8*Data!BR152)/CK27)+(200/CK27)</f>
        <v>1.25</v>
      </c>
      <c r="CT65" s="281">
        <f>$N74</f>
        <v>0</v>
      </c>
      <c r="CU65" s="281">
        <f>$O74</f>
        <v>0</v>
      </c>
      <c r="CV65" s="281">
        <f>$P74</f>
        <v>0</v>
      </c>
      <c r="CW65" s="168"/>
      <c r="CX65" s="168"/>
      <c r="CY65" s="271" t="s">
        <v>159</v>
      </c>
      <c r="DC65" s="272">
        <f>SUM(Data!CX152*(DC5/1000))</f>
        <v>0</v>
      </c>
      <c r="DE65" s="272">
        <f>SUM(Data!CX152*DC8)</f>
        <v>0</v>
      </c>
      <c r="DG65" s="274"/>
      <c r="DH65" s="274"/>
      <c r="DI65" s="280">
        <f>IF(DA27=0,0,(CL8*Data!CH152)/DA27)+(200/DA27)</f>
        <v>1.25</v>
      </c>
      <c r="DJ65" s="281">
        <f>$N74</f>
        <v>0</v>
      </c>
      <c r="DK65" s="281">
        <f>$O74</f>
        <v>0</v>
      </c>
      <c r="DL65" s="281">
        <f>$P74</f>
        <v>0</v>
      </c>
      <c r="DM65" s="168"/>
      <c r="DN65" s="168"/>
      <c r="DO65" s="271" t="s">
        <v>159</v>
      </c>
      <c r="DS65" s="272">
        <f>SUM(Data!DN152*(DS5/1000))</f>
        <v>0</v>
      </c>
      <c r="DU65" s="272">
        <f>SUM(Data!DN152*DS8)</f>
        <v>0</v>
      </c>
      <c r="DW65" s="274"/>
      <c r="DX65" s="274"/>
      <c r="DY65" s="280">
        <f>IF(DQ27=0,0,(DB8*Data!CX152)/DQ27)+(200/DQ27)</f>
        <v>1.25</v>
      </c>
      <c r="DZ65" s="281">
        <f>$N74</f>
        <v>0</v>
      </c>
      <c r="EA65" s="281">
        <f>$O74</f>
        <v>0</v>
      </c>
      <c r="EB65" s="281">
        <f>$P74</f>
        <v>0</v>
      </c>
      <c r="EC65" s="168"/>
      <c r="ED65" s="168"/>
      <c r="EE65" s="271" t="s">
        <v>159</v>
      </c>
      <c r="EI65" s="272">
        <f>SUM(Data!ED152*(EI5/1000))</f>
        <v>0</v>
      </c>
      <c r="EK65" s="272">
        <f>SUM(Data!ED152*EI8)</f>
        <v>0</v>
      </c>
      <c r="EM65" s="274"/>
      <c r="EN65" s="274"/>
      <c r="EO65" s="280">
        <f>IF(EG27=0,0,(DR8*Data!DN152)/EG27)+(200/EG27)</f>
        <v>1.25</v>
      </c>
      <c r="EP65" s="281">
        <f>$N74</f>
        <v>0</v>
      </c>
      <c r="EQ65" s="281">
        <f>$O74</f>
        <v>0</v>
      </c>
      <c r="ER65" s="281">
        <f>$P74</f>
        <v>0</v>
      </c>
      <c r="ES65" s="168"/>
      <c r="ET65" s="168"/>
      <c r="EU65" s="271" t="s">
        <v>159</v>
      </c>
      <c r="EY65" s="272">
        <f>SUM(Data!ET152*(EY5/1000))</f>
        <v>0</v>
      </c>
      <c r="FA65" s="272">
        <f>SUM(Data!ET152*EY8)</f>
        <v>0</v>
      </c>
      <c r="FC65" s="274"/>
      <c r="FD65" s="274"/>
      <c r="FE65" s="280">
        <f>IF(EW27=0,0,(EH8*Data!ED152)/EW27)+(200/EW27)</f>
        <v>1.25</v>
      </c>
      <c r="FF65" s="281">
        <f>$N74</f>
        <v>0</v>
      </c>
      <c r="FG65" s="281">
        <f>$O74</f>
        <v>0</v>
      </c>
      <c r="FH65" s="281">
        <f>$P74</f>
        <v>0</v>
      </c>
      <c r="FI65" s="168"/>
      <c r="FJ65" s="168"/>
      <c r="FK65" s="271" t="s">
        <v>159</v>
      </c>
      <c r="FO65" s="272">
        <f>SUM(Data!FJ152*(FO5/1000))</f>
        <v>0</v>
      </c>
      <c r="FQ65" s="272">
        <f>SUM(Data!FJ152*FO8)</f>
        <v>0</v>
      </c>
      <c r="FS65" s="274"/>
      <c r="FT65" s="274"/>
      <c r="FU65" s="280">
        <f>IF(FM27=0,0,(EX8*Data!ET152)/FM27)+(200/FM27)</f>
        <v>1.25</v>
      </c>
      <c r="FV65" s="281">
        <f>$N74</f>
        <v>0</v>
      </c>
      <c r="FW65" s="281">
        <f>$O74</f>
        <v>0</v>
      </c>
      <c r="FX65" s="281">
        <f>$P74</f>
        <v>0</v>
      </c>
      <c r="FY65" s="168"/>
      <c r="FZ65" s="168"/>
      <c r="GA65" s="271" t="s">
        <v>159</v>
      </c>
      <c r="GE65" s="272">
        <f>SUM(Data!FZ152*(GE5/1000))</f>
        <v>0</v>
      </c>
      <c r="GG65" s="272">
        <f>SUM(Data!FZ152*GE8)</f>
        <v>0</v>
      </c>
      <c r="GI65" s="274"/>
      <c r="GJ65" s="274"/>
      <c r="GK65" s="280">
        <f>IF(GC27=0,0,(FN8*Data!FJ152)/GC27)+(200/GC27)</f>
        <v>1.25</v>
      </c>
      <c r="GL65" s="281">
        <f>$N74</f>
        <v>0</v>
      </c>
      <c r="GM65" s="281">
        <f>$O74</f>
        <v>0</v>
      </c>
      <c r="GN65" s="281">
        <f>$P74</f>
        <v>0</v>
      </c>
      <c r="GO65" s="168"/>
      <c r="GP65" s="168"/>
      <c r="GQ65" s="271" t="s">
        <v>159</v>
      </c>
      <c r="GU65" s="272">
        <f>SUM(Data!GP152*(GU5/1000))</f>
        <v>0</v>
      </c>
      <c r="GW65" s="272">
        <f>SUM(Data!GP152*GU8)</f>
        <v>0</v>
      </c>
      <c r="GY65" s="274"/>
      <c r="GZ65" s="274"/>
      <c r="HA65" s="280">
        <f>IF(GS27=0,0,(GD8*Data!FZ152)/GS27)+(200/GS27)</f>
        <v>1.25</v>
      </c>
      <c r="HB65" s="281">
        <f>$N74</f>
        <v>0</v>
      </c>
      <c r="HC65" s="281">
        <f>$O74</f>
        <v>0</v>
      </c>
      <c r="HD65" s="281">
        <f>$P74</f>
        <v>0</v>
      </c>
      <c r="HE65" s="168"/>
      <c r="HF65" s="172"/>
      <c r="HG65" s="172"/>
      <c r="HH65" s="172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215" customFormat="1" ht="12.75" x14ac:dyDescent="0.2">
      <c r="A66" s="869"/>
      <c r="B66" s="302" t="s">
        <v>146</v>
      </c>
      <c r="C66" s="162"/>
      <c r="D66" s="168"/>
      <c r="E66" s="168"/>
      <c r="F66" s="168"/>
      <c r="G66" s="168"/>
      <c r="H66" s="168"/>
      <c r="I66" s="168"/>
      <c r="J66" s="191"/>
      <c r="K66" s="183"/>
      <c r="L66" s="163"/>
      <c r="M66" s="184">
        <f>IF(D36=0,0,(Data!E141))</f>
        <v>10</v>
      </c>
      <c r="N66" s="248"/>
      <c r="O66" s="248"/>
      <c r="P66" s="248"/>
      <c r="Q66" s="912"/>
      <c r="R66" s="913"/>
      <c r="S66" s="167"/>
      <c r="T66" s="168"/>
      <c r="U66" s="168"/>
      <c r="V66" s="229" t="s">
        <v>160</v>
      </c>
      <c r="Z66" s="305" t="e">
        <f>SUM(AG66*AB5)/100</f>
        <v>#DIV/0!</v>
      </c>
      <c r="AB66" s="305" t="e">
        <f>SUM(AH66*AB6)/100</f>
        <v>#DIV/0!</v>
      </c>
      <c r="AD66" s="306">
        <f>SUM(AI66*AB7)/100</f>
        <v>0</v>
      </c>
      <c r="AE66" s="233"/>
      <c r="AF66" s="296" t="e">
        <f>$M75</f>
        <v>#DIV/0!</v>
      </c>
      <c r="AG66" s="297" t="e">
        <f>$N75</f>
        <v>#DIV/0!</v>
      </c>
      <c r="AH66" s="297" t="e">
        <f>$O75</f>
        <v>#DIV/0!</v>
      </c>
      <c r="AI66" s="297">
        <f>$P75</f>
        <v>0</v>
      </c>
      <c r="AJ66" s="168"/>
      <c r="AK66" s="168"/>
      <c r="AL66" s="169"/>
      <c r="AM66" s="229" t="s">
        <v>160</v>
      </c>
      <c r="AQ66" s="305" t="e">
        <f>SUM(AX66*AS5)/100</f>
        <v>#DIV/0!</v>
      </c>
      <c r="AS66" s="305" t="e">
        <f>SUM(AY66*AS6)/100</f>
        <v>#DIV/0!</v>
      </c>
      <c r="AU66" s="306">
        <f>SUM(AZ66*AS7)/100</f>
        <v>0</v>
      </c>
      <c r="AV66" s="233"/>
      <c r="AW66" s="296" t="e">
        <f>$M75</f>
        <v>#DIV/0!</v>
      </c>
      <c r="AX66" s="297" t="e">
        <f>$N75</f>
        <v>#DIV/0!</v>
      </c>
      <c r="AY66" s="297" t="e">
        <f>$O75</f>
        <v>#DIV/0!</v>
      </c>
      <c r="AZ66" s="297">
        <f>$P75</f>
        <v>0</v>
      </c>
      <c r="BA66" s="168"/>
      <c r="BB66" s="168"/>
      <c r="BC66" s="229" t="s">
        <v>160</v>
      </c>
      <c r="BG66" s="305" t="e">
        <f>SUM(BN66*BI5)/100</f>
        <v>#DIV/0!</v>
      </c>
      <c r="BI66" s="305" t="e">
        <f>SUM(BO66*BI6)/100</f>
        <v>#DIV/0!</v>
      </c>
      <c r="BK66" s="306">
        <f>SUM(BP66*BI7)/100</f>
        <v>0</v>
      </c>
      <c r="BL66" s="233"/>
      <c r="BM66" s="296" t="e">
        <f>$M75</f>
        <v>#DIV/0!</v>
      </c>
      <c r="BN66" s="297" t="e">
        <f>$N75</f>
        <v>#DIV/0!</v>
      </c>
      <c r="BO66" s="297" t="e">
        <f>$O75</f>
        <v>#DIV/0!</v>
      </c>
      <c r="BP66" s="297">
        <f>$P75</f>
        <v>0</v>
      </c>
      <c r="BQ66" s="168"/>
      <c r="BR66" s="168"/>
      <c r="BS66" s="229" t="s">
        <v>160</v>
      </c>
      <c r="BW66" s="305" t="e">
        <f>SUM(CD66*BY5)/100</f>
        <v>#DIV/0!</v>
      </c>
      <c r="BY66" s="305" t="e">
        <f>SUM(CE66*BY6)/100</f>
        <v>#DIV/0!</v>
      </c>
      <c r="CA66" s="306">
        <f>SUM(CF66*BY7)/100</f>
        <v>0</v>
      </c>
      <c r="CB66" s="233"/>
      <c r="CC66" s="296" t="e">
        <f>$M75</f>
        <v>#DIV/0!</v>
      </c>
      <c r="CD66" s="297" t="e">
        <f>$N75</f>
        <v>#DIV/0!</v>
      </c>
      <c r="CE66" s="297" t="e">
        <f>$O75</f>
        <v>#DIV/0!</v>
      </c>
      <c r="CF66" s="297">
        <f>$P75</f>
        <v>0</v>
      </c>
      <c r="CG66" s="168"/>
      <c r="CH66" s="168"/>
      <c r="CI66" s="229" t="s">
        <v>160</v>
      </c>
      <c r="CM66" s="305" t="e">
        <f>SUM(CT66*CO5)/100</f>
        <v>#DIV/0!</v>
      </c>
      <c r="CO66" s="305" t="e">
        <f>SUM(CU66*CO6)/100</f>
        <v>#DIV/0!</v>
      </c>
      <c r="CQ66" s="306">
        <f>SUM(CV66*CO7)/100</f>
        <v>0</v>
      </c>
      <c r="CR66" s="233"/>
      <c r="CS66" s="296" t="e">
        <f>$M75</f>
        <v>#DIV/0!</v>
      </c>
      <c r="CT66" s="297" t="e">
        <f>$N75</f>
        <v>#DIV/0!</v>
      </c>
      <c r="CU66" s="297" t="e">
        <f>$O75</f>
        <v>#DIV/0!</v>
      </c>
      <c r="CV66" s="297">
        <f>$P75</f>
        <v>0</v>
      </c>
      <c r="CW66" s="168"/>
      <c r="CX66" s="168"/>
      <c r="CY66" s="229" t="s">
        <v>160</v>
      </c>
      <c r="DC66" s="305" t="e">
        <f>SUM(DJ66*DE5)/100</f>
        <v>#DIV/0!</v>
      </c>
      <c r="DE66" s="305" t="e">
        <f>SUM(DK66*DE6)/100</f>
        <v>#DIV/0!</v>
      </c>
      <c r="DG66" s="306">
        <f>SUM(DL66*DE7)/100</f>
        <v>0</v>
      </c>
      <c r="DH66" s="233"/>
      <c r="DI66" s="296" t="e">
        <f>$M75</f>
        <v>#DIV/0!</v>
      </c>
      <c r="DJ66" s="297" t="e">
        <f>$N75</f>
        <v>#DIV/0!</v>
      </c>
      <c r="DK66" s="297" t="e">
        <f>$O75</f>
        <v>#DIV/0!</v>
      </c>
      <c r="DL66" s="297">
        <f>$P75</f>
        <v>0</v>
      </c>
      <c r="DM66" s="168"/>
      <c r="DN66" s="168"/>
      <c r="DO66" s="229" t="s">
        <v>160</v>
      </c>
      <c r="DS66" s="305" t="e">
        <f>SUM(DZ66*DU5)/100</f>
        <v>#DIV/0!</v>
      </c>
      <c r="DU66" s="305" t="e">
        <f>SUM(EA66*DU6)/100</f>
        <v>#DIV/0!</v>
      </c>
      <c r="DW66" s="306">
        <f>SUM(EB66*DU7)/100</f>
        <v>0</v>
      </c>
      <c r="DX66" s="233"/>
      <c r="DY66" s="296" t="e">
        <f>$M75</f>
        <v>#DIV/0!</v>
      </c>
      <c r="DZ66" s="297" t="e">
        <f>$N75</f>
        <v>#DIV/0!</v>
      </c>
      <c r="EA66" s="297" t="e">
        <f>$O75</f>
        <v>#DIV/0!</v>
      </c>
      <c r="EB66" s="297">
        <f>$P75</f>
        <v>0</v>
      </c>
      <c r="EC66" s="168"/>
      <c r="ED66" s="168"/>
      <c r="EE66" s="229" t="s">
        <v>160</v>
      </c>
      <c r="EI66" s="305" t="e">
        <f>SUM(EP66*EK5)/100</f>
        <v>#DIV/0!</v>
      </c>
      <c r="EK66" s="305" t="e">
        <f>SUM(EQ66*EK6)/100</f>
        <v>#DIV/0!</v>
      </c>
      <c r="EM66" s="306">
        <f>SUM(ER66*EK7)/100</f>
        <v>0</v>
      </c>
      <c r="EN66" s="233"/>
      <c r="EO66" s="296" t="e">
        <f>$M75</f>
        <v>#DIV/0!</v>
      </c>
      <c r="EP66" s="297" t="e">
        <f>$N75</f>
        <v>#DIV/0!</v>
      </c>
      <c r="EQ66" s="297" t="e">
        <f>$O75</f>
        <v>#DIV/0!</v>
      </c>
      <c r="ER66" s="297">
        <f>$P75</f>
        <v>0</v>
      </c>
      <c r="ES66" s="168"/>
      <c r="ET66" s="168"/>
      <c r="EU66" s="229" t="s">
        <v>160</v>
      </c>
      <c r="EY66" s="305" t="e">
        <f>SUM(FF66*FA5)/100</f>
        <v>#DIV/0!</v>
      </c>
      <c r="FA66" s="305" t="e">
        <f>SUM(FG66*FA6)/100</f>
        <v>#DIV/0!</v>
      </c>
      <c r="FC66" s="306">
        <f>SUM(FH66*FA7)/100</f>
        <v>0</v>
      </c>
      <c r="FD66" s="233"/>
      <c r="FE66" s="296" t="e">
        <f>$M75</f>
        <v>#DIV/0!</v>
      </c>
      <c r="FF66" s="297" t="e">
        <f>$N75</f>
        <v>#DIV/0!</v>
      </c>
      <c r="FG66" s="297" t="e">
        <f>$O75</f>
        <v>#DIV/0!</v>
      </c>
      <c r="FH66" s="297">
        <f>$P75</f>
        <v>0</v>
      </c>
      <c r="FI66" s="168"/>
      <c r="FJ66" s="168"/>
      <c r="FK66" s="229" t="s">
        <v>160</v>
      </c>
      <c r="FO66" s="305" t="e">
        <f>SUM(FV66*FQ5)/100</f>
        <v>#DIV/0!</v>
      </c>
      <c r="FQ66" s="305" t="e">
        <f>SUM(FW66*FQ6)/100</f>
        <v>#DIV/0!</v>
      </c>
      <c r="FS66" s="306">
        <f>SUM(FX66*FQ7)/100</f>
        <v>0</v>
      </c>
      <c r="FT66" s="233"/>
      <c r="FU66" s="296" t="e">
        <f>$M75</f>
        <v>#DIV/0!</v>
      </c>
      <c r="FV66" s="297" t="e">
        <f>$N75</f>
        <v>#DIV/0!</v>
      </c>
      <c r="FW66" s="297" t="e">
        <f>$O75</f>
        <v>#DIV/0!</v>
      </c>
      <c r="FX66" s="297">
        <f>$P75</f>
        <v>0</v>
      </c>
      <c r="FY66" s="168"/>
      <c r="FZ66" s="168"/>
      <c r="GA66" s="229" t="s">
        <v>160</v>
      </c>
      <c r="GE66" s="305" t="e">
        <f>SUM(GL66*GG5)/100</f>
        <v>#DIV/0!</v>
      </c>
      <c r="GG66" s="305" t="e">
        <f>SUM(GM66*GG6)/100</f>
        <v>#DIV/0!</v>
      </c>
      <c r="GI66" s="306">
        <f>SUM(GN66*GG7)/100</f>
        <v>0</v>
      </c>
      <c r="GJ66" s="233"/>
      <c r="GK66" s="296" t="e">
        <f>$M75</f>
        <v>#DIV/0!</v>
      </c>
      <c r="GL66" s="297" t="e">
        <f>$N75</f>
        <v>#DIV/0!</v>
      </c>
      <c r="GM66" s="297" t="e">
        <f>$O75</f>
        <v>#DIV/0!</v>
      </c>
      <c r="GN66" s="297">
        <f>$P75</f>
        <v>0</v>
      </c>
      <c r="GO66" s="168"/>
      <c r="GP66" s="168"/>
      <c r="GQ66" s="229" t="s">
        <v>160</v>
      </c>
      <c r="GU66" s="305" t="e">
        <f>SUM(HB66*GW5)/100</f>
        <v>#DIV/0!</v>
      </c>
      <c r="GW66" s="305" t="e">
        <f>SUM(HC66*GW6)/100</f>
        <v>#DIV/0!</v>
      </c>
      <c r="GY66" s="306">
        <f>SUM(HD66*GW7)/100</f>
        <v>0</v>
      </c>
      <c r="GZ66" s="233"/>
      <c r="HA66" s="296" t="e">
        <f>$M75</f>
        <v>#DIV/0!</v>
      </c>
      <c r="HB66" s="297" t="e">
        <f>$N75</f>
        <v>#DIV/0!</v>
      </c>
      <c r="HC66" s="297" t="e">
        <f>$O75</f>
        <v>#DIV/0!</v>
      </c>
      <c r="HD66" s="297">
        <f>$P75</f>
        <v>0</v>
      </c>
      <c r="HE66" s="168"/>
      <c r="HF66" s="172"/>
      <c r="HG66" s="172"/>
      <c r="HH66" s="172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187" customFormat="1" ht="12.75" x14ac:dyDescent="0.2">
      <c r="A67" s="869"/>
      <c r="B67" s="302" t="s">
        <v>147</v>
      </c>
      <c r="C67" s="162"/>
      <c r="D67" s="168"/>
      <c r="E67" s="168"/>
      <c r="F67" s="168"/>
      <c r="G67" s="168"/>
      <c r="H67" s="168"/>
      <c r="I67" s="168"/>
      <c r="J67" s="191"/>
      <c r="K67" s="183"/>
      <c r="L67" s="163"/>
      <c r="M67" s="184">
        <f>IF(D36=0,0,Data!E142)</f>
        <v>15</v>
      </c>
      <c r="N67" s="248"/>
      <c r="O67" s="248"/>
      <c r="P67" s="248"/>
      <c r="Q67" s="912"/>
      <c r="R67" s="913"/>
      <c r="S67" s="167"/>
      <c r="T67" s="168"/>
      <c r="U67" s="168"/>
      <c r="V67" s="276" t="s">
        <v>167</v>
      </c>
      <c r="AD67" s="277"/>
      <c r="AE67" s="277"/>
      <c r="AF67" s="278"/>
      <c r="AG67" s="279"/>
      <c r="AH67" s="279"/>
      <c r="AI67" s="279"/>
      <c r="AJ67" s="168"/>
      <c r="AK67" s="168"/>
      <c r="AL67" s="169"/>
      <c r="AM67" s="276" t="s">
        <v>167</v>
      </c>
      <c r="AU67" s="277"/>
      <c r="AV67" s="277"/>
      <c r="AW67" s="278"/>
      <c r="AX67" s="279"/>
      <c r="AY67" s="279"/>
      <c r="AZ67" s="279"/>
      <c r="BA67" s="168"/>
      <c r="BB67" s="168"/>
      <c r="BC67" s="276" t="s">
        <v>167</v>
      </c>
      <c r="BK67" s="277"/>
      <c r="BL67" s="277"/>
      <c r="BM67" s="278"/>
      <c r="BN67" s="279"/>
      <c r="BO67" s="279"/>
      <c r="BP67" s="279"/>
      <c r="BQ67" s="168"/>
      <c r="BR67" s="168"/>
      <c r="BS67" s="276" t="s">
        <v>167</v>
      </c>
      <c r="CA67" s="277"/>
      <c r="CB67" s="277"/>
      <c r="CC67" s="278"/>
      <c r="CD67" s="279"/>
      <c r="CE67" s="279"/>
      <c r="CF67" s="279"/>
      <c r="CG67" s="168"/>
      <c r="CH67" s="168"/>
      <c r="CI67" s="276" t="s">
        <v>167</v>
      </c>
      <c r="CQ67" s="277"/>
      <c r="CR67" s="277"/>
      <c r="CS67" s="278"/>
      <c r="CT67" s="279"/>
      <c r="CU67" s="279"/>
      <c r="CV67" s="279"/>
      <c r="CW67" s="168"/>
      <c r="CX67" s="168"/>
      <c r="CY67" s="276" t="s">
        <v>167</v>
      </c>
      <c r="DG67" s="277"/>
      <c r="DH67" s="277"/>
      <c r="DI67" s="278"/>
      <c r="DJ67" s="279"/>
      <c r="DK67" s="279"/>
      <c r="DL67" s="279"/>
      <c r="DM67" s="168"/>
      <c r="DN67" s="168"/>
      <c r="DO67" s="276" t="s">
        <v>167</v>
      </c>
      <c r="DW67" s="277"/>
      <c r="DX67" s="277"/>
      <c r="DY67" s="278"/>
      <c r="DZ67" s="279"/>
      <c r="EA67" s="279"/>
      <c r="EB67" s="279"/>
      <c r="EC67" s="168"/>
      <c r="ED67" s="168"/>
      <c r="EE67" s="276" t="s">
        <v>167</v>
      </c>
      <c r="EM67" s="277"/>
      <c r="EN67" s="277"/>
      <c r="EO67" s="278"/>
      <c r="EP67" s="279"/>
      <c r="EQ67" s="279"/>
      <c r="ER67" s="279"/>
      <c r="ES67" s="168"/>
      <c r="ET67" s="168"/>
      <c r="EU67" s="276" t="s">
        <v>167</v>
      </c>
      <c r="FC67" s="277"/>
      <c r="FD67" s="277"/>
      <c r="FE67" s="278"/>
      <c r="FF67" s="279"/>
      <c r="FG67" s="279"/>
      <c r="FH67" s="279"/>
      <c r="FI67" s="168"/>
      <c r="FJ67" s="168"/>
      <c r="FK67" s="276" t="s">
        <v>167</v>
      </c>
      <c r="FS67" s="277"/>
      <c r="FT67" s="277"/>
      <c r="FU67" s="278"/>
      <c r="FV67" s="279"/>
      <c r="FW67" s="279"/>
      <c r="FX67" s="279"/>
      <c r="FY67" s="168"/>
      <c r="FZ67" s="168"/>
      <c r="GA67" s="276" t="s">
        <v>167</v>
      </c>
      <c r="GI67" s="277"/>
      <c r="GJ67" s="277"/>
      <c r="GK67" s="278"/>
      <c r="GL67" s="279"/>
      <c r="GM67" s="279"/>
      <c r="GN67" s="279"/>
      <c r="GO67" s="168"/>
      <c r="GP67" s="168"/>
      <c r="GQ67" s="276" t="s">
        <v>167</v>
      </c>
      <c r="GY67" s="277"/>
      <c r="GZ67" s="277"/>
      <c r="HA67" s="278"/>
      <c r="HB67" s="279"/>
      <c r="HC67" s="279"/>
      <c r="HD67" s="279"/>
      <c r="HE67" s="168"/>
      <c r="HF67" s="172"/>
      <c r="HG67" s="172"/>
      <c r="HH67" s="172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2.75" x14ac:dyDescent="0.2">
      <c r="B68" s="302" t="str">
        <f>Data!C145</f>
        <v>Crop Monitoring Irrigated Area</v>
      </c>
      <c r="D68" s="168"/>
      <c r="E68" s="168"/>
      <c r="F68" s="168"/>
      <c r="G68" s="168"/>
      <c r="H68" s="168"/>
      <c r="I68" s="168"/>
      <c r="J68" s="191"/>
      <c r="K68" s="183"/>
      <c r="M68" s="184">
        <f>IF(D36=0,0,Data!E145)</f>
        <v>45</v>
      </c>
      <c r="N68" s="248"/>
      <c r="O68" s="248"/>
      <c r="P68" s="248"/>
      <c r="R68" s="913"/>
      <c r="V68" s="206" t="s">
        <v>70</v>
      </c>
      <c r="AD68" s="191"/>
      <c r="AE68" s="191"/>
      <c r="AF68" s="192">
        <f>$M77</f>
        <v>30.5</v>
      </c>
      <c r="AG68" s="244">
        <f>IF(AB5=0,0,(AF68/AB5*100))</f>
        <v>15.25</v>
      </c>
      <c r="AH68" s="244">
        <f>IF(AB6=0,0,(AF68/AB6*100))</f>
        <v>15.25</v>
      </c>
      <c r="AI68" s="244">
        <f>IF(AB7=0,0,(AF68/AB7*100))</f>
        <v>15.25</v>
      </c>
      <c r="AM68" s="206" t="s">
        <v>70</v>
      </c>
      <c r="AU68" s="191"/>
      <c r="AV68" s="191"/>
      <c r="AW68" s="192">
        <f>$M77</f>
        <v>30.5</v>
      </c>
      <c r="AX68" s="244">
        <f>IF(AS5=0,0,(AW68/AS5*100))</f>
        <v>13.555555555555557</v>
      </c>
      <c r="AY68" s="244">
        <f>IF(AS6=0,0,(AW68/AS6*100))</f>
        <v>13.555555555555557</v>
      </c>
      <c r="AZ68" s="244">
        <f>IF(AS7=0,0,(AW68/AS7*100))</f>
        <v>13.555555555555557</v>
      </c>
      <c r="BC68" s="206" t="s">
        <v>70</v>
      </c>
      <c r="BK68" s="191"/>
      <c r="BL68" s="191"/>
      <c r="BM68" s="192">
        <f>$M77</f>
        <v>30.5</v>
      </c>
      <c r="BN68" s="244">
        <f>IF(BI5=0,0,(BM68/BI5*100))</f>
        <v>12.2</v>
      </c>
      <c r="BO68" s="244">
        <f>IF(BI6=0,0,(BM68/BI6*100))</f>
        <v>12.2</v>
      </c>
      <c r="BP68" s="244">
        <f>IF(BI7=0,0,(BM68/BI7*100))</f>
        <v>12.2</v>
      </c>
      <c r="BS68" s="206" t="s">
        <v>70</v>
      </c>
      <c r="CA68" s="191"/>
      <c r="CB68" s="191"/>
      <c r="CC68" s="192">
        <f>$M77</f>
        <v>30.5</v>
      </c>
      <c r="CD68" s="244">
        <f>IF(BY5=0,0,(CC68/BY5*100))</f>
        <v>11.090909090909092</v>
      </c>
      <c r="CE68" s="244">
        <f>IF(BY6=0,0,(CC68/BY6*100))</f>
        <v>11.090909090909092</v>
      </c>
      <c r="CF68" s="244">
        <f>IF(BY7=0,0,(CC68/BY7*100))</f>
        <v>11.090909090909092</v>
      </c>
      <c r="CI68" s="206" t="s">
        <v>70</v>
      </c>
      <c r="CQ68" s="191"/>
      <c r="CR68" s="191"/>
      <c r="CS68" s="192">
        <f>$M77</f>
        <v>30.5</v>
      </c>
      <c r="CT68" s="244">
        <f>IF(CO5=0,0,(CS68/CO5*100))</f>
        <v>10.166666666666666</v>
      </c>
      <c r="CU68" s="244">
        <f>IF(CO6=0,0,(CS68/CO6*100))</f>
        <v>10.166666666666666</v>
      </c>
      <c r="CV68" s="244">
        <f>IF(CO7=0,0,(CS68/CO7*100))</f>
        <v>10.166666666666666</v>
      </c>
      <c r="CY68" s="206" t="s">
        <v>70</v>
      </c>
      <c r="DG68" s="191"/>
      <c r="DH68" s="191"/>
      <c r="DI68" s="192">
        <f>$M77</f>
        <v>30.5</v>
      </c>
      <c r="DJ68" s="244">
        <f>IF(DE5=0,0,(DI68/DE5*100))</f>
        <v>9.384615384615385</v>
      </c>
      <c r="DK68" s="244">
        <f>IF(DE6=0,0,(DI68/DE6*100))</f>
        <v>9.384615384615385</v>
      </c>
      <c r="DL68" s="244">
        <f>IF(DE7=0,0,(DI68/DE7*100))</f>
        <v>9.384615384615385</v>
      </c>
      <c r="DO68" s="206" t="s">
        <v>70</v>
      </c>
      <c r="DW68" s="191"/>
      <c r="DX68" s="191"/>
      <c r="DY68" s="192">
        <f>$M77</f>
        <v>30.5</v>
      </c>
      <c r="DZ68" s="244">
        <f>IF(DU5=0,0,(DY68/DU5*100))</f>
        <v>8.7142857142857153</v>
      </c>
      <c r="EA68" s="244">
        <f>IF(DU6=0,0,(DY68/DU6*100))</f>
        <v>8.7142857142857153</v>
      </c>
      <c r="EB68" s="244">
        <f>IF(DU7=0,0,(DY68/DU7*100))</f>
        <v>8.7142857142857153</v>
      </c>
      <c r="EE68" s="206" t="s">
        <v>70</v>
      </c>
      <c r="EM68" s="191"/>
      <c r="EN68" s="191"/>
      <c r="EO68" s="192">
        <f>$M77</f>
        <v>30.5</v>
      </c>
      <c r="EP68" s="244">
        <f>IF(EK5=0,0,(EO68/EK5*100))</f>
        <v>8.1333333333333329</v>
      </c>
      <c r="EQ68" s="244">
        <f>IF(EK6=0,0,(EO68/EK6*100))</f>
        <v>8.1333333333333329</v>
      </c>
      <c r="ER68" s="244">
        <f>IF(EK7=0,0,(EO68/EK7*100))</f>
        <v>8.1333333333333329</v>
      </c>
      <c r="EU68" s="206" t="s">
        <v>70</v>
      </c>
      <c r="FC68" s="191"/>
      <c r="FD68" s="191"/>
      <c r="FE68" s="192">
        <f>$M77</f>
        <v>30.5</v>
      </c>
      <c r="FF68" s="244">
        <f>IF(FA5=0,0,(FE68/FA5*100))</f>
        <v>7.625</v>
      </c>
      <c r="FG68" s="244">
        <f>IF(FA6=0,0,(FE68/FA6*100))</f>
        <v>7.625</v>
      </c>
      <c r="FH68" s="244">
        <f>IF(FA7=0,0,(FE68/FA7*100))</f>
        <v>7.625</v>
      </c>
      <c r="FK68" s="206" t="s">
        <v>70</v>
      </c>
      <c r="FS68" s="191"/>
      <c r="FT68" s="191"/>
      <c r="FU68" s="192">
        <f>$M77</f>
        <v>30.5</v>
      </c>
      <c r="FV68" s="244">
        <f>IF(FQ5=0,0,(FU68/FQ5*100))</f>
        <v>7.1764705882352935</v>
      </c>
      <c r="FW68" s="244">
        <f>IF(FQ6=0,0,(FU68/FQ6*100))</f>
        <v>7.1764705882352935</v>
      </c>
      <c r="FX68" s="244">
        <f>IF(FQ7=0,0,(FU68/FQ7*100))</f>
        <v>7.1764705882352935</v>
      </c>
      <c r="GA68" s="206" t="s">
        <v>70</v>
      </c>
      <c r="GI68" s="191"/>
      <c r="GJ68" s="191"/>
      <c r="GK68" s="192">
        <f>$M77</f>
        <v>30.5</v>
      </c>
      <c r="GL68" s="244">
        <f>IF(GG5=0,0,(GK68/GG5*100))</f>
        <v>6.7777777777777786</v>
      </c>
      <c r="GM68" s="244">
        <f>IF(GG6=0,0,(GK68/GG6*100))</f>
        <v>6.7777777777777786</v>
      </c>
      <c r="GN68" s="244">
        <f>IF(GG7=0,0,(GK68/GG7*100))</f>
        <v>6.7777777777777786</v>
      </c>
      <c r="GQ68" s="206" t="s">
        <v>70</v>
      </c>
      <c r="GY68" s="191"/>
      <c r="GZ68" s="191"/>
      <c r="HA68" s="192">
        <f>$M77</f>
        <v>30.5</v>
      </c>
      <c r="HB68" s="244">
        <f>IF(GW5=0,0,(HA68/GW5*100))</f>
        <v>6.4210526315789469</v>
      </c>
      <c r="HC68" s="244">
        <f>IF(GW6=0,0,(HA68/GW6*100))</f>
        <v>6.4210526315789469</v>
      </c>
      <c r="HD68" s="244">
        <f>IF(GW7=0,0,(HA68/GW7*100))</f>
        <v>6.4210526315789469</v>
      </c>
      <c r="HF68" s="172"/>
      <c r="HG68" s="172"/>
      <c r="HH68" s="172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2.75" x14ac:dyDescent="0.2">
      <c r="B69" s="302" t="str">
        <f>Data!C146</f>
        <v>Crop Monitoring Dryland Area</v>
      </c>
      <c r="D69" s="168"/>
      <c r="E69" s="168"/>
      <c r="F69" s="168"/>
      <c r="G69" s="168"/>
      <c r="H69" s="168"/>
      <c r="I69" s="168"/>
      <c r="J69" s="191"/>
      <c r="K69" s="183"/>
      <c r="M69" s="184">
        <f>IF(D35=0,0,Data!E146)</f>
        <v>0</v>
      </c>
      <c r="N69" s="248"/>
      <c r="O69" s="248"/>
      <c r="P69" s="248"/>
      <c r="R69" s="913"/>
      <c r="V69" s="206" t="s">
        <v>171</v>
      </c>
      <c r="AD69" s="191"/>
      <c r="AE69" s="191"/>
      <c r="AF69" s="192">
        <f>$M78</f>
        <v>55</v>
      </c>
      <c r="AG69" s="244">
        <f>IF(AB5=0,0,(AF69/AB5*100))</f>
        <v>27.500000000000004</v>
      </c>
      <c r="AH69" s="244">
        <f>IF(AB6=0,0,(AF69/AB6*100))</f>
        <v>27.500000000000004</v>
      </c>
      <c r="AI69" s="244">
        <f>IF(AB7=0,0,(AF69/AB7*100))</f>
        <v>27.500000000000004</v>
      </c>
      <c r="AM69" s="206" t="s">
        <v>171</v>
      </c>
      <c r="AU69" s="191"/>
      <c r="AV69" s="191"/>
      <c r="AW69" s="192">
        <f>$M78</f>
        <v>55</v>
      </c>
      <c r="AX69" s="244">
        <f>IF(AS5=0,0,(AW69/AS5*100))</f>
        <v>24.444444444444443</v>
      </c>
      <c r="AY69" s="244">
        <f>IF(AS6=0,0,(AW69/AS6*100))</f>
        <v>24.444444444444443</v>
      </c>
      <c r="AZ69" s="244">
        <f>IF(AS7=0,0,(AW69/AS7*100))</f>
        <v>24.444444444444443</v>
      </c>
      <c r="BC69" s="206" t="s">
        <v>171</v>
      </c>
      <c r="BK69" s="191"/>
      <c r="BL69" s="191"/>
      <c r="BM69" s="192">
        <f>$M78</f>
        <v>55</v>
      </c>
      <c r="BN69" s="244">
        <f>IF(BI5=0,0,(BM69/BI5*100))</f>
        <v>22</v>
      </c>
      <c r="BO69" s="244">
        <f>IF(BI6=0,0,(BM69/BI6*100))</f>
        <v>22</v>
      </c>
      <c r="BP69" s="244">
        <f>IF(BI7=0,0,(BM69/BI7*100))</f>
        <v>22</v>
      </c>
      <c r="BS69" s="206" t="s">
        <v>171</v>
      </c>
      <c r="CA69" s="191"/>
      <c r="CB69" s="191"/>
      <c r="CC69" s="192">
        <f>$M78</f>
        <v>55</v>
      </c>
      <c r="CD69" s="244">
        <f>IF(BY5=0,0,(CC69/BY5*100))</f>
        <v>20</v>
      </c>
      <c r="CE69" s="244">
        <f>IF(BY6=0,0,(CC69/BY6*100))</f>
        <v>20</v>
      </c>
      <c r="CF69" s="244">
        <f>IF(BY7=0,0,(CC69/BY7*100))</f>
        <v>20</v>
      </c>
      <c r="CI69" s="206" t="s">
        <v>171</v>
      </c>
      <c r="CQ69" s="191"/>
      <c r="CR69" s="191"/>
      <c r="CS69" s="192">
        <f>$M78</f>
        <v>55</v>
      </c>
      <c r="CT69" s="244">
        <f>IF(CO5=0,0,(CS69/CO5*100))</f>
        <v>18.333333333333332</v>
      </c>
      <c r="CU69" s="244">
        <f>IF(CO6=0,0,(CS69/CO6*100))</f>
        <v>18.333333333333332</v>
      </c>
      <c r="CV69" s="244">
        <f>IF(CO7=0,0,(CS69/CO7*100))</f>
        <v>18.333333333333332</v>
      </c>
      <c r="CY69" s="206" t="s">
        <v>171</v>
      </c>
      <c r="DG69" s="191"/>
      <c r="DH69" s="191"/>
      <c r="DI69" s="192">
        <f>$M78</f>
        <v>55</v>
      </c>
      <c r="DJ69" s="244">
        <f>IF(DE5=0,0,(DI69/DE5*100))</f>
        <v>16.923076923076923</v>
      </c>
      <c r="DK69" s="244">
        <f>IF(DE6=0,0,(DI69/DE6*100))</f>
        <v>16.923076923076923</v>
      </c>
      <c r="DL69" s="244">
        <f>IF(DE7=0,0,(DI69/DE7*100))</f>
        <v>16.923076923076923</v>
      </c>
      <c r="DO69" s="206" t="s">
        <v>171</v>
      </c>
      <c r="DW69" s="191"/>
      <c r="DX69" s="191"/>
      <c r="DY69" s="192">
        <f>$M78</f>
        <v>55</v>
      </c>
      <c r="DZ69" s="244">
        <f>IF(DU5=0,0,(DY69/DU5*100))</f>
        <v>15.714285714285714</v>
      </c>
      <c r="EA69" s="244">
        <f>IF(DU6=0,0,(DY69/DU6*100))</f>
        <v>15.714285714285714</v>
      </c>
      <c r="EB69" s="244">
        <f>IF(DU7=0,0,(DY69/DU7*100))</f>
        <v>15.714285714285714</v>
      </c>
      <c r="EE69" s="206" t="s">
        <v>171</v>
      </c>
      <c r="EM69" s="191"/>
      <c r="EN69" s="191"/>
      <c r="EO69" s="192">
        <f>$M78</f>
        <v>55</v>
      </c>
      <c r="EP69" s="244">
        <f>IF(EK5=0,0,(EO69/EK5*100))</f>
        <v>14.666666666666666</v>
      </c>
      <c r="EQ69" s="244">
        <f>IF(EK6=0,0,(EO69/EK6*100))</f>
        <v>14.666666666666666</v>
      </c>
      <c r="ER69" s="244">
        <f>IF(EK7=0,0,(EO69/EK7*100))</f>
        <v>14.666666666666666</v>
      </c>
      <c r="EU69" s="206" t="s">
        <v>171</v>
      </c>
      <c r="FC69" s="191"/>
      <c r="FD69" s="191"/>
      <c r="FE69" s="192">
        <f>$M78</f>
        <v>55</v>
      </c>
      <c r="FF69" s="244">
        <f>IF(FA5=0,0,(FE69/FA5*100))</f>
        <v>13.750000000000002</v>
      </c>
      <c r="FG69" s="244">
        <f>IF(FA6=0,0,(FE69/FA6*100))</f>
        <v>13.750000000000002</v>
      </c>
      <c r="FH69" s="244">
        <f>IF(FA7=0,0,(FE69/FA7*100))</f>
        <v>13.750000000000002</v>
      </c>
      <c r="FK69" s="206" t="s">
        <v>171</v>
      </c>
      <c r="FS69" s="191"/>
      <c r="FT69" s="191"/>
      <c r="FU69" s="192">
        <f>$M78</f>
        <v>55</v>
      </c>
      <c r="FV69" s="244">
        <f>IF(FQ5=0,0,(FU69/FQ5*100))</f>
        <v>12.941176470588237</v>
      </c>
      <c r="FW69" s="244">
        <f>IF(FQ6=0,0,(FU69/FQ6*100))</f>
        <v>12.941176470588237</v>
      </c>
      <c r="FX69" s="244">
        <f>IF(FQ7=0,0,(FU69/FQ7*100))</f>
        <v>12.941176470588237</v>
      </c>
      <c r="GA69" s="206" t="s">
        <v>171</v>
      </c>
      <c r="GI69" s="191"/>
      <c r="GJ69" s="191"/>
      <c r="GK69" s="192">
        <f>$M78</f>
        <v>55</v>
      </c>
      <c r="GL69" s="244">
        <f>IF(GG5=0,0,(GK69/GG5*100))</f>
        <v>12.222222222222221</v>
      </c>
      <c r="GM69" s="244">
        <f>IF(GG6=0,0,(GK69/GG6*100))</f>
        <v>12.222222222222221</v>
      </c>
      <c r="GN69" s="244">
        <f>IF(GG7=0,0,(GK69/GG7*100))</f>
        <v>12.222222222222221</v>
      </c>
      <c r="GQ69" s="206" t="s">
        <v>171</v>
      </c>
      <c r="GY69" s="191"/>
      <c r="GZ69" s="191"/>
      <c r="HA69" s="192">
        <f>$M78</f>
        <v>55</v>
      </c>
      <c r="HB69" s="244">
        <f>IF(GW5=0,0,(HA69/GW5*100))</f>
        <v>11.578947368421053</v>
      </c>
      <c r="HC69" s="244">
        <f>IF(GW6=0,0,(HA69/GW6*100))</f>
        <v>11.578947368421053</v>
      </c>
      <c r="HD69" s="244">
        <f>IF(GW7=0,0,(HA69/GW7*100))</f>
        <v>11.578947368421053</v>
      </c>
      <c r="HF69" s="172"/>
      <c r="HG69" s="172"/>
      <c r="HH69" s="172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2.75" x14ac:dyDescent="0.2">
      <c r="B70" s="302" t="s">
        <v>151</v>
      </c>
      <c r="D70" s="168"/>
      <c r="E70" s="168"/>
      <c r="F70" s="168">
        <f>SUM(Data!E14+Data!E19)</f>
        <v>160</v>
      </c>
      <c r="G70" s="168"/>
      <c r="H70" s="301">
        <f>Data!E147*Data!F147</f>
        <v>1500</v>
      </c>
      <c r="I70" s="168"/>
      <c r="J70" s="191"/>
      <c r="K70" s="183"/>
      <c r="M70" s="184">
        <f>IF(F70=0,0,H70/F70)</f>
        <v>9.375</v>
      </c>
      <c r="N70" s="270"/>
      <c r="O70" s="270"/>
      <c r="P70" s="270"/>
      <c r="R70" s="913"/>
      <c r="V70" s="206" t="s">
        <v>431</v>
      </c>
      <c r="AD70" s="191"/>
      <c r="AE70" s="191"/>
      <c r="AF70" s="192">
        <f>$M79</f>
        <v>268</v>
      </c>
      <c r="AG70" s="244">
        <f>IF(AB5=0,0,(AF70/AB5*100))</f>
        <v>134</v>
      </c>
      <c r="AH70" s="244">
        <f>IF(AB6=0,0,(AF70/AB6*100))</f>
        <v>134</v>
      </c>
      <c r="AI70" s="244">
        <f>IF(AB7=0,0,(AF70/AB7*100))</f>
        <v>134</v>
      </c>
      <c r="AM70" s="206" t="s">
        <v>431</v>
      </c>
      <c r="AU70" s="191"/>
      <c r="AV70" s="191"/>
      <c r="AW70" s="192">
        <f>$M79</f>
        <v>268</v>
      </c>
      <c r="AX70" s="244">
        <f>IF(AS5=0,0,(AW70/AS5*100))</f>
        <v>119.1111111111111</v>
      </c>
      <c r="AY70" s="244">
        <f>IF(AS6=0,0,(AW70/AS6*100))</f>
        <v>119.1111111111111</v>
      </c>
      <c r="AZ70" s="244">
        <f>IF(AS7=0,0,(AW70/AS7*100))</f>
        <v>119.1111111111111</v>
      </c>
      <c r="BC70" s="206" t="s">
        <v>431</v>
      </c>
      <c r="BK70" s="191"/>
      <c r="BL70" s="191"/>
      <c r="BM70" s="192">
        <f>$M79</f>
        <v>268</v>
      </c>
      <c r="BN70" s="244">
        <f>IF(BI5=0,0,(BM70/BI5*100))</f>
        <v>107.2</v>
      </c>
      <c r="BO70" s="244">
        <f>IF(BI6=0,0,(BM70/BI6*100))</f>
        <v>107.2</v>
      </c>
      <c r="BP70" s="244">
        <f>IF(BI7=0,0,(BM70/BI7*100))</f>
        <v>107.2</v>
      </c>
      <c r="BS70" s="206" t="s">
        <v>431</v>
      </c>
      <c r="CA70" s="191"/>
      <c r="CB70" s="191"/>
      <c r="CC70" s="192">
        <f>$M79</f>
        <v>268</v>
      </c>
      <c r="CD70" s="244">
        <f>IF(BY5=0,0,(CC70/BY5*100))</f>
        <v>97.454545454545453</v>
      </c>
      <c r="CE70" s="244">
        <f>IF(BY6=0,0,(CC70/BY6*100))</f>
        <v>97.454545454545453</v>
      </c>
      <c r="CF70" s="244">
        <f>IF(BY7=0,0,(CC70/BY7*100))</f>
        <v>97.454545454545453</v>
      </c>
      <c r="CI70" s="206" t="s">
        <v>431</v>
      </c>
      <c r="CQ70" s="191"/>
      <c r="CR70" s="191"/>
      <c r="CS70" s="192">
        <f>$M79</f>
        <v>268</v>
      </c>
      <c r="CT70" s="244">
        <f>IF(CO5=0,0,(CS70/CO5*100))</f>
        <v>89.333333333333329</v>
      </c>
      <c r="CU70" s="244">
        <f>IF(CO6=0,0,(CS70/CO6*100))</f>
        <v>89.333333333333329</v>
      </c>
      <c r="CV70" s="244">
        <f>IF(CO7=0,0,(CS70/CO7*100))</f>
        <v>89.333333333333329</v>
      </c>
      <c r="CY70" s="206" t="s">
        <v>431</v>
      </c>
      <c r="DG70" s="191"/>
      <c r="DH70" s="191"/>
      <c r="DI70" s="192">
        <f>$M79</f>
        <v>268</v>
      </c>
      <c r="DJ70" s="244">
        <f>IF(DE5=0,0,(DI70/DE5*100))</f>
        <v>82.461538461538467</v>
      </c>
      <c r="DK70" s="244">
        <f>IF(DE6=0,0,(DI70/DE6*100))</f>
        <v>82.461538461538467</v>
      </c>
      <c r="DL70" s="244">
        <f>IF(DE7=0,0,(DI70/DE7*100))</f>
        <v>82.461538461538467</v>
      </c>
      <c r="DO70" s="206" t="s">
        <v>431</v>
      </c>
      <c r="DW70" s="191"/>
      <c r="DX70" s="191"/>
      <c r="DY70" s="192">
        <f>$M79</f>
        <v>268</v>
      </c>
      <c r="DZ70" s="244">
        <f>IF(DU5=0,0,(DY70/DU5*100))</f>
        <v>76.571428571428569</v>
      </c>
      <c r="EA70" s="244">
        <f>IF(DU6=0,0,(DY70/DU6*100))</f>
        <v>76.571428571428569</v>
      </c>
      <c r="EB70" s="244">
        <f>IF(DU7=0,0,(DY70/DU7*100))</f>
        <v>76.571428571428569</v>
      </c>
      <c r="EE70" s="206" t="s">
        <v>431</v>
      </c>
      <c r="EM70" s="191"/>
      <c r="EN70" s="191"/>
      <c r="EO70" s="192">
        <f>$M79</f>
        <v>268</v>
      </c>
      <c r="EP70" s="244">
        <f>IF(EK5=0,0,(EO70/EK5*100))</f>
        <v>71.466666666666669</v>
      </c>
      <c r="EQ70" s="244">
        <f>IF(EK6=0,0,(EO70/EK6*100))</f>
        <v>71.466666666666669</v>
      </c>
      <c r="ER70" s="244">
        <f>IF(EK7=0,0,(EO70/EK7*100))</f>
        <v>71.466666666666669</v>
      </c>
      <c r="EU70" s="206" t="s">
        <v>431</v>
      </c>
      <c r="FC70" s="191"/>
      <c r="FD70" s="191"/>
      <c r="FE70" s="192">
        <f>$M79</f>
        <v>268</v>
      </c>
      <c r="FF70" s="244">
        <f>IF(FA5=0,0,(FE70/FA5*100))</f>
        <v>67</v>
      </c>
      <c r="FG70" s="244">
        <f>IF(FA6=0,0,(FE70/FA6*100))</f>
        <v>67</v>
      </c>
      <c r="FH70" s="244">
        <f>IF(FA7=0,0,(FE70/FA7*100))</f>
        <v>67</v>
      </c>
      <c r="FK70" s="206" t="s">
        <v>431</v>
      </c>
      <c r="FS70" s="191"/>
      <c r="FT70" s="191"/>
      <c r="FU70" s="192">
        <f>$M79</f>
        <v>268</v>
      </c>
      <c r="FV70" s="244">
        <f>IF(FQ5=0,0,(FU70/FQ5*100))</f>
        <v>63.058823529411768</v>
      </c>
      <c r="FW70" s="244">
        <f>IF(FQ6=0,0,(FU70/FQ6*100))</f>
        <v>63.058823529411768</v>
      </c>
      <c r="FX70" s="244">
        <f>IF(FQ7=0,0,(FU70/FQ7*100))</f>
        <v>63.058823529411768</v>
      </c>
      <c r="GA70" s="206" t="s">
        <v>431</v>
      </c>
      <c r="GI70" s="191"/>
      <c r="GJ70" s="191"/>
      <c r="GK70" s="192">
        <f>$M79</f>
        <v>268</v>
      </c>
      <c r="GL70" s="244">
        <f>IF(GG5=0,0,(GK70/GG5*100))</f>
        <v>59.55555555555555</v>
      </c>
      <c r="GM70" s="244">
        <f>IF(GG6=0,0,(GK70/GG6*100))</f>
        <v>59.55555555555555</v>
      </c>
      <c r="GN70" s="244">
        <f>IF(GG7=0,0,(GK70/GG7*100))</f>
        <v>59.55555555555555</v>
      </c>
      <c r="GQ70" s="206" t="s">
        <v>431</v>
      </c>
      <c r="GY70" s="191"/>
      <c r="GZ70" s="191"/>
      <c r="HA70" s="192">
        <f>$M79</f>
        <v>268</v>
      </c>
      <c r="HB70" s="244">
        <f>IF(GW5=0,0,(HA70/GW5*100))</f>
        <v>56.421052631578952</v>
      </c>
      <c r="HC70" s="244">
        <f>IF(GW6=0,0,(HA70/GW6*100))</f>
        <v>56.421052631578952</v>
      </c>
      <c r="HD70" s="244">
        <f>IF(GW7=0,0,(HA70/GW7*100))</f>
        <v>56.421052631578952</v>
      </c>
      <c r="HF70" s="172"/>
      <c r="HG70" s="172"/>
      <c r="HH70" s="172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2.75" x14ac:dyDescent="0.2">
      <c r="B71" s="257" t="s">
        <v>430</v>
      </c>
      <c r="C71" s="258"/>
      <c r="D71" s="272"/>
      <c r="E71" s="272"/>
      <c r="F71" s="272"/>
      <c r="G71" s="272"/>
      <c r="H71" s="272"/>
      <c r="I71" s="272"/>
      <c r="J71" s="274"/>
      <c r="K71" s="259"/>
      <c r="M71" s="291">
        <f>SUM(M63:M70)</f>
        <v>79.375</v>
      </c>
      <c r="N71" s="292">
        <f>IF(H5=0,0,(M66+M67+M68+M70)/H5*100)</f>
        <v>0</v>
      </c>
      <c r="O71" s="292">
        <f>IF(H6=0,0,(M66+M67+M68+M70)/H6*100)</f>
        <v>0</v>
      </c>
      <c r="P71" s="292">
        <f>IF(H7=0,0,(M66+M67+M69)/H7*100)</f>
        <v>0</v>
      </c>
      <c r="R71" s="913"/>
      <c r="V71" s="206" t="s">
        <v>432</v>
      </c>
      <c r="AD71" s="191"/>
      <c r="AE71" s="191"/>
      <c r="AF71" s="192">
        <f>$M80</f>
        <v>8.3333333333333339</v>
      </c>
      <c r="AG71" s="244">
        <f>IF(AB5=0,0,(AF71/AB5*100))</f>
        <v>4.166666666666667</v>
      </c>
      <c r="AH71" s="244">
        <f>IF(AB6=0,0,(AF71/AB6*100))</f>
        <v>4.166666666666667</v>
      </c>
      <c r="AI71" s="244">
        <f>IF(AB7=0,0,(AF71/AB7*100))</f>
        <v>4.166666666666667</v>
      </c>
      <c r="AM71" s="206" t="s">
        <v>432</v>
      </c>
      <c r="AU71" s="191"/>
      <c r="AV71" s="191"/>
      <c r="AW71" s="192">
        <f>$M80</f>
        <v>8.3333333333333339</v>
      </c>
      <c r="AX71" s="244">
        <f>IF(AS5=0,0,(AW71/AS5*100))</f>
        <v>3.7037037037037042</v>
      </c>
      <c r="AY71" s="244">
        <f>IF(AS6=0,0,(AW71/AS6*100))</f>
        <v>3.7037037037037042</v>
      </c>
      <c r="AZ71" s="244">
        <f>IF(AS7=0,0,(AW71/AS7*100))</f>
        <v>3.7037037037037042</v>
      </c>
      <c r="BC71" s="206" t="s">
        <v>432</v>
      </c>
      <c r="BK71" s="191"/>
      <c r="BL71" s="191"/>
      <c r="BM71" s="192">
        <f>$M80</f>
        <v>8.3333333333333339</v>
      </c>
      <c r="BN71" s="244">
        <f>IF(BI5=0,0,(BM71/BI5*100))</f>
        <v>3.3333333333333335</v>
      </c>
      <c r="BO71" s="244">
        <f>IF(BI6=0,0,(BM71/BI6*100))</f>
        <v>3.3333333333333335</v>
      </c>
      <c r="BP71" s="244">
        <f>IF(BI7=0,0,(BM71/BI7*100))</f>
        <v>3.3333333333333335</v>
      </c>
      <c r="BS71" s="206" t="s">
        <v>432</v>
      </c>
      <c r="CA71" s="191"/>
      <c r="CB71" s="191"/>
      <c r="CC71" s="192">
        <f>$M80</f>
        <v>8.3333333333333339</v>
      </c>
      <c r="CD71" s="244">
        <f>IF(BY5=0,0,(CC71/BY5*100))</f>
        <v>3.0303030303030303</v>
      </c>
      <c r="CE71" s="244">
        <f>IF(BY6=0,0,(CC71/BY6*100))</f>
        <v>3.0303030303030303</v>
      </c>
      <c r="CF71" s="244">
        <f>IF(BY7=0,0,(CC71/BY7*100))</f>
        <v>3.0303030303030303</v>
      </c>
      <c r="CI71" s="206" t="s">
        <v>432</v>
      </c>
      <c r="CQ71" s="191"/>
      <c r="CR71" s="191"/>
      <c r="CS71" s="192">
        <f>$M80</f>
        <v>8.3333333333333339</v>
      </c>
      <c r="CT71" s="244">
        <f>IF(CO5=0,0,(CS71/CO5*100))</f>
        <v>2.7777777777777781</v>
      </c>
      <c r="CU71" s="244">
        <f>IF(CO6=0,0,(CS71/CO6*100))</f>
        <v>2.7777777777777781</v>
      </c>
      <c r="CV71" s="244">
        <f>IF(CO7=0,0,(CS71/CO7*100))</f>
        <v>2.7777777777777781</v>
      </c>
      <c r="CY71" s="206" t="s">
        <v>432</v>
      </c>
      <c r="DG71" s="191"/>
      <c r="DH71" s="191"/>
      <c r="DI71" s="192">
        <f>$M80</f>
        <v>8.3333333333333339</v>
      </c>
      <c r="DJ71" s="244">
        <f>IF(DE5=0,0,(DI71/DE5*100))</f>
        <v>2.5641025641025643</v>
      </c>
      <c r="DK71" s="244">
        <f>IF(DE6=0,0,(DI71/DE6*100))</f>
        <v>2.5641025641025643</v>
      </c>
      <c r="DL71" s="244">
        <f>IF(DE7=0,0,(DI71/DE7*100))</f>
        <v>2.5641025641025643</v>
      </c>
      <c r="DO71" s="206" t="s">
        <v>432</v>
      </c>
      <c r="DW71" s="191"/>
      <c r="DX71" s="191"/>
      <c r="DY71" s="192">
        <f>$M80</f>
        <v>8.3333333333333339</v>
      </c>
      <c r="DZ71" s="244">
        <f>IF(DU5=0,0,(DY71/DU5*100))</f>
        <v>2.3809523809523814</v>
      </c>
      <c r="EA71" s="244">
        <f>IF(DU6=0,0,(DY71/DU6*100))</f>
        <v>2.3809523809523814</v>
      </c>
      <c r="EB71" s="244">
        <f>IF(DU7=0,0,(DY71/DU7*100))</f>
        <v>2.3809523809523814</v>
      </c>
      <c r="EE71" s="206" t="s">
        <v>432</v>
      </c>
      <c r="EM71" s="191"/>
      <c r="EN71" s="191"/>
      <c r="EO71" s="192">
        <f>$M80</f>
        <v>8.3333333333333339</v>
      </c>
      <c r="EP71" s="244">
        <f>IF(EK5=0,0,(EO71/EK5*100))</f>
        <v>2.2222222222222223</v>
      </c>
      <c r="EQ71" s="244">
        <f>IF(EK6=0,0,(EO71/EK6*100))</f>
        <v>2.2222222222222223</v>
      </c>
      <c r="ER71" s="244">
        <f>IF(EK7=0,0,(EO71/EK7*100))</f>
        <v>2.2222222222222223</v>
      </c>
      <c r="EU71" s="206" t="s">
        <v>432</v>
      </c>
      <c r="FC71" s="191"/>
      <c r="FD71" s="191"/>
      <c r="FE71" s="192">
        <f>$M80</f>
        <v>8.3333333333333339</v>
      </c>
      <c r="FF71" s="244">
        <f>IF(FA5=0,0,(FE71/FA5*100))</f>
        <v>2.0833333333333335</v>
      </c>
      <c r="FG71" s="244">
        <f>IF(FA6=0,0,(FE71/FA6*100))</f>
        <v>2.0833333333333335</v>
      </c>
      <c r="FH71" s="244">
        <f>IF(FA7=0,0,(FE71/FA7*100))</f>
        <v>2.0833333333333335</v>
      </c>
      <c r="FK71" s="206" t="s">
        <v>432</v>
      </c>
      <c r="FS71" s="191"/>
      <c r="FT71" s="191"/>
      <c r="FU71" s="192">
        <f>$M80</f>
        <v>8.3333333333333339</v>
      </c>
      <c r="FV71" s="244">
        <f>IF(FQ5=0,0,(FU71/FQ5*100))</f>
        <v>1.9607843137254901</v>
      </c>
      <c r="FW71" s="244">
        <f>IF(FQ6=0,0,(FU71/FQ6*100))</f>
        <v>1.9607843137254901</v>
      </c>
      <c r="FX71" s="244">
        <f>IF(FQ7=0,0,(FU71/FQ7*100))</f>
        <v>1.9607843137254901</v>
      </c>
      <c r="GA71" s="206" t="s">
        <v>432</v>
      </c>
      <c r="GI71" s="191"/>
      <c r="GJ71" s="191"/>
      <c r="GK71" s="192">
        <f>$M80</f>
        <v>8.3333333333333339</v>
      </c>
      <c r="GL71" s="244">
        <f>IF(GG5=0,0,(GK71/GG5*100))</f>
        <v>1.8518518518518521</v>
      </c>
      <c r="GM71" s="244">
        <f>IF(GG6=0,0,(GK71/GG6*100))</f>
        <v>1.8518518518518521</v>
      </c>
      <c r="GN71" s="244">
        <f>IF(GG7=0,0,(GK71/GG7*100))</f>
        <v>1.8518518518518521</v>
      </c>
      <c r="GQ71" s="206" t="s">
        <v>432</v>
      </c>
      <c r="GY71" s="191"/>
      <c r="GZ71" s="191"/>
      <c r="HA71" s="192">
        <f>$M80</f>
        <v>8.3333333333333339</v>
      </c>
      <c r="HB71" s="244">
        <f>IF(GW5=0,0,(HA71/GW5*100))</f>
        <v>1.754385964912281</v>
      </c>
      <c r="HC71" s="244">
        <f>IF(GW6=0,0,(HA71/GW6*100))</f>
        <v>1.754385964912281</v>
      </c>
      <c r="HD71" s="244">
        <f>IF(GW7=0,0,(HA71/GW7*100))</f>
        <v>1.754385964912281</v>
      </c>
      <c r="HF71" s="172"/>
      <c r="HG71" s="172"/>
      <c r="HH71" s="172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2.75" x14ac:dyDescent="0.2">
      <c r="B72" s="287" t="s">
        <v>153</v>
      </c>
      <c r="C72" s="179"/>
      <c r="D72" s="187"/>
      <c r="E72" s="187"/>
      <c r="F72" s="303">
        <f>SUM(Data!E33*Data!E150)</f>
        <v>28.709999999999997</v>
      </c>
      <c r="G72" s="187"/>
      <c r="H72" s="303">
        <f>SUM(Data!E38*Data!E150)</f>
        <v>20.88</v>
      </c>
      <c r="I72" s="187"/>
      <c r="J72" s="277"/>
      <c r="K72" s="288"/>
      <c r="L72" s="174"/>
      <c r="M72" s="289"/>
      <c r="N72" s="290"/>
      <c r="O72" s="290"/>
      <c r="P72" s="290"/>
      <c r="R72" s="913"/>
      <c r="V72" s="206" t="s">
        <v>176</v>
      </c>
      <c r="Z72" s="250"/>
      <c r="AC72" s="272"/>
      <c r="AD72" s="274"/>
      <c r="AE72" s="191"/>
      <c r="AF72" s="192">
        <f>$M81</f>
        <v>0</v>
      </c>
      <c r="AG72" s="244">
        <f>$N81</f>
        <v>0</v>
      </c>
      <c r="AH72" s="244">
        <f>$O81</f>
        <v>0</v>
      </c>
      <c r="AI72" s="244">
        <f>$P81</f>
        <v>0</v>
      </c>
      <c r="AM72" s="206" t="s">
        <v>176</v>
      </c>
      <c r="AQ72" s="250"/>
      <c r="AT72" s="272"/>
      <c r="AU72" s="274"/>
      <c r="AV72" s="191"/>
      <c r="AW72" s="192">
        <f>$M81</f>
        <v>0</v>
      </c>
      <c r="AX72" s="244">
        <f>$N81</f>
        <v>0</v>
      </c>
      <c r="AY72" s="244">
        <f>$N81</f>
        <v>0</v>
      </c>
      <c r="AZ72" s="244">
        <f>$N81</f>
        <v>0</v>
      </c>
      <c r="BC72" s="206" t="s">
        <v>176</v>
      </c>
      <c r="BG72" s="250"/>
      <c r="BJ72" s="272"/>
      <c r="BK72" s="274"/>
      <c r="BL72" s="191"/>
      <c r="BM72" s="192">
        <f>$M81</f>
        <v>0</v>
      </c>
      <c r="BN72" s="244">
        <f>$N81</f>
        <v>0</v>
      </c>
      <c r="BO72" s="244">
        <f>$N81</f>
        <v>0</v>
      </c>
      <c r="BP72" s="244">
        <f>$N81</f>
        <v>0</v>
      </c>
      <c r="BS72" s="206" t="s">
        <v>176</v>
      </c>
      <c r="BW72" s="250"/>
      <c r="BZ72" s="272"/>
      <c r="CA72" s="274"/>
      <c r="CB72" s="191"/>
      <c r="CC72" s="192">
        <f>$M81</f>
        <v>0</v>
      </c>
      <c r="CD72" s="244">
        <f>$N81</f>
        <v>0</v>
      </c>
      <c r="CE72" s="244">
        <f>$N81</f>
        <v>0</v>
      </c>
      <c r="CF72" s="244">
        <f>$N81</f>
        <v>0</v>
      </c>
      <c r="CI72" s="206" t="s">
        <v>176</v>
      </c>
      <c r="CM72" s="250"/>
      <c r="CP72" s="272"/>
      <c r="CQ72" s="274"/>
      <c r="CR72" s="191"/>
      <c r="CS72" s="192">
        <f>$M81</f>
        <v>0</v>
      </c>
      <c r="CT72" s="244">
        <f>$N81</f>
        <v>0</v>
      </c>
      <c r="CU72" s="244">
        <f>$N81</f>
        <v>0</v>
      </c>
      <c r="CV72" s="244">
        <f>$N81</f>
        <v>0</v>
      </c>
      <c r="CY72" s="206" t="s">
        <v>176</v>
      </c>
      <c r="DC72" s="250"/>
      <c r="DF72" s="272"/>
      <c r="DG72" s="274"/>
      <c r="DH72" s="191"/>
      <c r="DI72" s="192">
        <f>$M81</f>
        <v>0</v>
      </c>
      <c r="DJ72" s="244">
        <f>$N81</f>
        <v>0</v>
      </c>
      <c r="DK72" s="244">
        <f>$N81</f>
        <v>0</v>
      </c>
      <c r="DL72" s="244">
        <f>$N81</f>
        <v>0</v>
      </c>
      <c r="DO72" s="206" t="s">
        <v>176</v>
      </c>
      <c r="DS72" s="250"/>
      <c r="DV72" s="272"/>
      <c r="DW72" s="274"/>
      <c r="DX72" s="191"/>
      <c r="DY72" s="192">
        <f>$M81</f>
        <v>0</v>
      </c>
      <c r="DZ72" s="244">
        <f>$N81</f>
        <v>0</v>
      </c>
      <c r="EA72" s="244">
        <f>$N81</f>
        <v>0</v>
      </c>
      <c r="EB72" s="244">
        <f>$N81</f>
        <v>0</v>
      </c>
      <c r="EE72" s="206" t="s">
        <v>176</v>
      </c>
      <c r="EI72" s="250"/>
      <c r="EL72" s="272"/>
      <c r="EM72" s="274"/>
      <c r="EN72" s="191"/>
      <c r="EO72" s="192">
        <f>$M81</f>
        <v>0</v>
      </c>
      <c r="EP72" s="244">
        <f>$N81</f>
        <v>0</v>
      </c>
      <c r="EQ72" s="244">
        <f>$N81</f>
        <v>0</v>
      </c>
      <c r="ER72" s="244">
        <f>$N81</f>
        <v>0</v>
      </c>
      <c r="EU72" s="206" t="s">
        <v>176</v>
      </c>
      <c r="EY72" s="250"/>
      <c r="FB72" s="272"/>
      <c r="FC72" s="274"/>
      <c r="FD72" s="191"/>
      <c r="FE72" s="192">
        <f>$M81</f>
        <v>0</v>
      </c>
      <c r="FF72" s="244">
        <f>$N81</f>
        <v>0</v>
      </c>
      <c r="FG72" s="244">
        <f>$N81</f>
        <v>0</v>
      </c>
      <c r="FH72" s="244">
        <f>$N81</f>
        <v>0</v>
      </c>
      <c r="FK72" s="206" t="s">
        <v>176</v>
      </c>
      <c r="FO72" s="250"/>
      <c r="FR72" s="272"/>
      <c r="FS72" s="274"/>
      <c r="FT72" s="191"/>
      <c r="FU72" s="192">
        <f>$M81</f>
        <v>0</v>
      </c>
      <c r="FV72" s="244">
        <f>$N81</f>
        <v>0</v>
      </c>
      <c r="FW72" s="244">
        <f>$N81</f>
        <v>0</v>
      </c>
      <c r="FX72" s="244">
        <f>$N81</f>
        <v>0</v>
      </c>
      <c r="GA72" s="206" t="s">
        <v>176</v>
      </c>
      <c r="GE72" s="250"/>
      <c r="GH72" s="272"/>
      <c r="GI72" s="274"/>
      <c r="GJ72" s="191"/>
      <c r="GK72" s="192">
        <f>$M81</f>
        <v>0</v>
      </c>
      <c r="GL72" s="244">
        <f>$N81</f>
        <v>0</v>
      </c>
      <c r="GM72" s="244">
        <f>$N81</f>
        <v>0</v>
      </c>
      <c r="GN72" s="244">
        <f>$N81</f>
        <v>0</v>
      </c>
      <c r="GQ72" s="206" t="s">
        <v>176</v>
      </c>
      <c r="GU72" s="250"/>
      <c r="GX72" s="272"/>
      <c r="GY72" s="274"/>
      <c r="GZ72" s="191"/>
      <c r="HA72" s="192">
        <f>$M81</f>
        <v>0</v>
      </c>
      <c r="HB72" s="244">
        <f>$N81</f>
        <v>0</v>
      </c>
      <c r="HC72" s="244">
        <f>$N81</f>
        <v>0</v>
      </c>
      <c r="HD72" s="244">
        <f>$N81</f>
        <v>0</v>
      </c>
      <c r="HF72" s="172"/>
      <c r="HG72" s="172"/>
      <c r="HH72" s="1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272" customFormat="1" ht="12.75" x14ac:dyDescent="0.2">
      <c r="A73" s="869"/>
      <c r="B73" s="202" t="s">
        <v>154</v>
      </c>
      <c r="C73" s="162"/>
      <c r="D73" s="168" t="s">
        <v>377</v>
      </c>
      <c r="E73" s="168"/>
      <c r="F73" s="242">
        <f>IF(Data!E14=0,0,Data!E150*Data!G33)</f>
        <v>2296.7999999999997</v>
      </c>
      <c r="G73" s="168"/>
      <c r="H73" s="168" t="s">
        <v>379</v>
      </c>
      <c r="I73" s="249"/>
      <c r="J73" s="304">
        <f>IF(Data!E19=0,0,Data!E150*Data!G38)</f>
        <v>1670.3999999999999</v>
      </c>
      <c r="K73" s="183"/>
      <c r="L73" s="163"/>
      <c r="M73" s="184">
        <f>IF(D34=0,0,(Data!E33*Data!E150*D23/D34+Data!E38*Data!E150*D33/D34))</f>
        <v>24.794999999999998</v>
      </c>
      <c r="N73" s="248" t="e">
        <f>IF(Data!E14=0,0,F73/Data!E14/H5*100)</f>
        <v>#DIV/0!</v>
      </c>
      <c r="O73" s="248" t="e">
        <f>IF(Data!E19=0,0,J73/Data!E19/H6*100)</f>
        <v>#DIV/0!</v>
      </c>
      <c r="P73" s="248"/>
      <c r="Q73" s="912"/>
      <c r="R73" s="913"/>
      <c r="S73" s="167"/>
      <c r="T73" s="168"/>
      <c r="U73" s="168"/>
      <c r="V73" s="271" t="s">
        <v>433</v>
      </c>
      <c r="X73" s="307"/>
      <c r="Z73" s="307"/>
      <c r="AD73" s="274"/>
      <c r="AE73" s="274"/>
      <c r="AG73" s="281">
        <f>IF(AB5=0,0,(AF68+AF69+AF70+AF71+AF72)/AB5*100)</f>
        <v>180.91666666666666</v>
      </c>
      <c r="AH73" s="281">
        <f>IF(AB6=0,0,(AF68+AF69+AF70+AF71+AF72)/AB6*100)</f>
        <v>180.91666666666666</v>
      </c>
      <c r="AI73" s="281">
        <f>IF(AB7=0,0,(AF68+AF69+AF70+AF71+AF72)/AB7*100)</f>
        <v>180.91666666666666</v>
      </c>
      <c r="AJ73" s="168"/>
      <c r="AK73" s="168"/>
      <c r="AL73" s="169"/>
      <c r="AM73" s="271" t="s">
        <v>433</v>
      </c>
      <c r="AO73" s="307"/>
      <c r="AQ73" s="307"/>
      <c r="AU73" s="274"/>
      <c r="AV73" s="274"/>
      <c r="AX73" s="281">
        <f>IF(AS5=0,0,(AW68+AW69+AW70+AW71+AW72)/AS5*100)</f>
        <v>160.81481481481481</v>
      </c>
      <c r="AY73" s="281">
        <f>IF(AS6=0,0,(AW68+AW69+AW70+AW71+AW72)/AS6*100)</f>
        <v>160.81481481481481</v>
      </c>
      <c r="AZ73" s="281">
        <f>IF(AS7=0,0,(AW68+AW69+AW70+AW71+AW72)/AS7*100)</f>
        <v>160.81481481481481</v>
      </c>
      <c r="BA73" s="168"/>
      <c r="BB73" s="168"/>
      <c r="BC73" s="271" t="s">
        <v>433</v>
      </c>
      <c r="BE73" s="307"/>
      <c r="BG73" s="307"/>
      <c r="BK73" s="274"/>
      <c r="BL73" s="274"/>
      <c r="BN73" s="281">
        <f>IF(BI5=0,0,(BM68+BM69+BM70+BM71+BM72)/BI5*100)</f>
        <v>144.73333333333335</v>
      </c>
      <c r="BO73" s="281">
        <f>IF(BI6=0,0,(BM68+BM69+BM70+BM71+BM72)/BI6*100)</f>
        <v>144.73333333333335</v>
      </c>
      <c r="BP73" s="281">
        <f>IF(BI7=0,0,(BM68+BM69+BM70+BM71+BM72)/BI7*100)</f>
        <v>144.73333333333335</v>
      </c>
      <c r="BQ73" s="168"/>
      <c r="BR73" s="168"/>
      <c r="BS73" s="271" t="s">
        <v>433</v>
      </c>
      <c r="BU73" s="307"/>
      <c r="BW73" s="307"/>
      <c r="CA73" s="274"/>
      <c r="CB73" s="274"/>
      <c r="CD73" s="281">
        <f>IF(BY5=0,0,(CC68+CC69+CC70+CC71+CC72)/BY5*100)</f>
        <v>131.57575757575756</v>
      </c>
      <c r="CE73" s="281">
        <f>IF(BY6=0,0,(CC68+CC69+CC70+CC71+CC72)/BY6*100)</f>
        <v>131.57575757575756</v>
      </c>
      <c r="CF73" s="281">
        <f>IF(BY7=0,0,(CC68+CC69+CC70+CC71+CC72)/BY7*100)</f>
        <v>131.57575757575756</v>
      </c>
      <c r="CG73" s="168"/>
      <c r="CH73" s="168"/>
      <c r="CI73" s="271" t="s">
        <v>433</v>
      </c>
      <c r="CK73" s="307"/>
      <c r="CM73" s="307"/>
      <c r="CQ73" s="274"/>
      <c r="CR73" s="274"/>
      <c r="CT73" s="281">
        <f>IF(CO5=0,0,(CS68+CS69+CS70+CS71+CS72)/CO5*100)</f>
        <v>120.61111111111111</v>
      </c>
      <c r="CU73" s="281">
        <f>IF(CO6=0,0,(CS68+CS69+CS70+CS71+CS72)/CO6*100)</f>
        <v>120.61111111111111</v>
      </c>
      <c r="CV73" s="281">
        <f>IF(CO7=0,0,(CS68+CS69+CS70+CS71+CS72)/CO7*100)</f>
        <v>120.61111111111111</v>
      </c>
      <c r="CW73" s="168"/>
      <c r="CX73" s="168"/>
      <c r="CY73" s="271" t="s">
        <v>433</v>
      </c>
      <c r="DA73" s="307"/>
      <c r="DC73" s="307"/>
      <c r="DG73" s="274"/>
      <c r="DH73" s="274"/>
      <c r="DJ73" s="281">
        <f>IF(DE5=0,0,(DI68+DI69+DI70+DI71+DI72)/DE5*100)</f>
        <v>111.33333333333333</v>
      </c>
      <c r="DK73" s="281">
        <f>IF(DE6=0,0,(DI68+DI69+DI70+DI71+DI72)/DE6*100)</f>
        <v>111.33333333333333</v>
      </c>
      <c r="DL73" s="281">
        <f>IF(DE7=0,0,(DI68+DI69+DI70+DI71+DI72)/DE7*100)</f>
        <v>111.33333333333333</v>
      </c>
      <c r="DM73" s="168"/>
      <c r="DN73" s="168"/>
      <c r="DO73" s="271" t="s">
        <v>433</v>
      </c>
      <c r="DQ73" s="307"/>
      <c r="DS73" s="307"/>
      <c r="DW73" s="274"/>
      <c r="DX73" s="274"/>
      <c r="DZ73" s="281">
        <f>IF(DU5=0,0,(DY68+DY69+DY70+DY71+DY72)/DU5*100)</f>
        <v>103.38095238095238</v>
      </c>
      <c r="EA73" s="281">
        <f>IF(DU6=0,0,(DY68+DY69+DY70+DY71+DY72)/DU6*100)</f>
        <v>103.38095238095238</v>
      </c>
      <c r="EB73" s="281">
        <f>IF(DU7=0,0,(DY68+DY69+DY70+DY71+DY72)/DU7*100)</f>
        <v>103.38095238095238</v>
      </c>
      <c r="EC73" s="168"/>
      <c r="ED73" s="168"/>
      <c r="EE73" s="271" t="s">
        <v>433</v>
      </c>
      <c r="EG73" s="307"/>
      <c r="EI73" s="307"/>
      <c r="EM73" s="274"/>
      <c r="EN73" s="274"/>
      <c r="EP73" s="281">
        <f>IF(EK5=0,0,(EO68+EO69+EO70+EO71+EO72)/EK5*100)</f>
        <v>96.48888888888888</v>
      </c>
      <c r="EQ73" s="281">
        <f>IF(EK6=0,0,(EO68+EO69+EO70+EO71+EO72)/EK6*100)</f>
        <v>96.48888888888888</v>
      </c>
      <c r="ER73" s="281">
        <f>IF(EK7=0,0,(EO68+EO69+EO70+EO71+EO72)/EK7*100)</f>
        <v>96.48888888888888</v>
      </c>
      <c r="ES73" s="168"/>
      <c r="ET73" s="168"/>
      <c r="EU73" s="271" t="s">
        <v>433</v>
      </c>
      <c r="EW73" s="307"/>
      <c r="EY73" s="307"/>
      <c r="FC73" s="274"/>
      <c r="FD73" s="274"/>
      <c r="FF73" s="281">
        <f>IF(FA5=0,0,(FE68+FE69+FE70+FE71+FE72)/FA5*100)</f>
        <v>90.458333333333329</v>
      </c>
      <c r="FG73" s="281">
        <f>IF(FA6=0,0,(FE68+FE69+FE70+FE71+FE72)/FA6*100)</f>
        <v>90.458333333333329</v>
      </c>
      <c r="FH73" s="281">
        <f>IF(FA7=0,0,(FE68+FE69+FE70+FE71+FE72)/FA7*100)</f>
        <v>90.458333333333329</v>
      </c>
      <c r="FI73" s="168"/>
      <c r="FJ73" s="168"/>
      <c r="FK73" s="271" t="s">
        <v>433</v>
      </c>
      <c r="FM73" s="307"/>
      <c r="FO73" s="307"/>
      <c r="FS73" s="274"/>
      <c r="FT73" s="274"/>
      <c r="FV73" s="281">
        <f>IF(FQ5=0,0,(FU68+FU69+FU70+FU71+FU72)/FQ5*100)</f>
        <v>85.137254901960773</v>
      </c>
      <c r="FW73" s="281">
        <f>IF(FQ6=0,0,(FU68+FU69+FU70+FU71+FU72)/FQ6*100)</f>
        <v>85.137254901960773</v>
      </c>
      <c r="FX73" s="281">
        <f>IF(FQ7=0,0,(FU68+FU69+FU70+FU71+FU72)/FQ7*100)</f>
        <v>85.137254901960773</v>
      </c>
      <c r="FY73" s="168"/>
      <c r="FZ73" s="168"/>
      <c r="GA73" s="271" t="s">
        <v>433</v>
      </c>
      <c r="GC73" s="307"/>
      <c r="GE73" s="307"/>
      <c r="GI73" s="274"/>
      <c r="GJ73" s="274"/>
      <c r="GL73" s="281">
        <f>IF(GG5=0,0,(GK68+GK69+GK70+GK71+GK72)/GG5*100)</f>
        <v>80.407407407407405</v>
      </c>
      <c r="GM73" s="281">
        <f>IF(GG6=0,0,(GK68+GK69+GK70+GK71+GK72)/GG6*100)</f>
        <v>80.407407407407405</v>
      </c>
      <c r="GN73" s="281">
        <f>IF(GG7=0,0,(GK68+GK69+GK70+GK71+GK72)/GG7*100)</f>
        <v>80.407407407407405</v>
      </c>
      <c r="GO73" s="168"/>
      <c r="GP73" s="168"/>
      <c r="GQ73" s="271" t="s">
        <v>433</v>
      </c>
      <c r="GS73" s="307"/>
      <c r="GU73" s="307"/>
      <c r="GY73" s="274"/>
      <c r="GZ73" s="274"/>
      <c r="HB73" s="281">
        <f>IF(GW5=0,0,(HA68+HA69+HA70+HA71+HA72)/GW5*100)</f>
        <v>76.175438596491233</v>
      </c>
      <c r="HC73" s="281">
        <f>IF(GW6=0,0,(HA68+HA69+HA70+HA71+HA72)/GW6*100)</f>
        <v>76.175438596491233</v>
      </c>
      <c r="HD73" s="281">
        <f>IF(GW7=0,0,(HA68+HA69+HA70+HA71+HA72)/GW7*100)</f>
        <v>76.175438596491233</v>
      </c>
      <c r="HE73" s="168"/>
      <c r="HF73" s="172"/>
      <c r="HG73" s="172"/>
      <c r="HH73" s="172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187" customFormat="1" ht="12.75" x14ac:dyDescent="0.2">
      <c r="A74" s="869"/>
      <c r="B74" s="257" t="s">
        <v>159</v>
      </c>
      <c r="C74" s="258"/>
      <c r="D74" s="272"/>
      <c r="E74" s="272"/>
      <c r="F74" s="272">
        <f>SUM(Data!F152*(F5/1000))</f>
        <v>0</v>
      </c>
      <c r="G74" s="272"/>
      <c r="H74" s="272">
        <f>SUM(Data!F152*F9)</f>
        <v>0</v>
      </c>
      <c r="I74" s="272"/>
      <c r="J74" s="274"/>
      <c r="K74" s="259"/>
      <c r="L74" s="251"/>
      <c r="M74" s="291">
        <f>IF(D36=0,0,(F9*Data!F152)/D36)+(200/D36)</f>
        <v>1.25</v>
      </c>
      <c r="N74" s="292">
        <f>IF(H5=0,0,(Data!G152/1000)*100)+Data!H152</f>
        <v>0</v>
      </c>
      <c r="O74" s="292">
        <f>IF(H6=0,0,Data!G152/1000)*100+Data!H152</f>
        <v>0</v>
      </c>
      <c r="P74" s="292">
        <f>IF(H7=0,0,(Data!G152/1000)*100+Data!H152)</f>
        <v>0</v>
      </c>
      <c r="Q74" s="912"/>
      <c r="R74" s="913"/>
      <c r="S74" s="167"/>
      <c r="T74" s="168"/>
      <c r="U74" s="168"/>
      <c r="V74" s="186"/>
      <c r="Z74" s="187" t="e">
        <f>SUM(AG29:AG72)</f>
        <v>#DIV/0!</v>
      </c>
      <c r="AB74" s="308" t="e">
        <f>SUM(AH29:AH72)</f>
        <v>#DIV/0!</v>
      </c>
      <c r="AC74" s="249"/>
      <c r="AD74" s="249"/>
      <c r="AE74" s="308"/>
      <c r="AF74" s="309"/>
      <c r="AG74" s="310" t="s">
        <v>24</v>
      </c>
      <c r="AH74" s="310" t="s">
        <v>51</v>
      </c>
      <c r="AI74" s="310" t="s">
        <v>387</v>
      </c>
      <c r="AJ74" s="168"/>
      <c r="AK74" s="168"/>
      <c r="AL74" s="169"/>
      <c r="AM74" s="186"/>
      <c r="AQ74" s="187" t="e">
        <f>SUM(AX29:AX72)</f>
        <v>#DIV/0!</v>
      </c>
      <c r="AS74" s="308" t="e">
        <f>SUM(AY29:AY72)</f>
        <v>#DIV/0!</v>
      </c>
      <c r="AT74" s="249"/>
      <c r="AU74" s="249"/>
      <c r="AV74" s="308"/>
      <c r="AW74" s="309"/>
      <c r="AX74" s="310" t="s">
        <v>24</v>
      </c>
      <c r="AY74" s="310" t="s">
        <v>51</v>
      </c>
      <c r="AZ74" s="310" t="s">
        <v>387</v>
      </c>
      <c r="BA74" s="168"/>
      <c r="BB74" s="168"/>
      <c r="BC74" s="186"/>
      <c r="BG74" s="187" t="e">
        <f>SUM(BN29:BN72)</f>
        <v>#DIV/0!</v>
      </c>
      <c r="BI74" s="308" t="e">
        <f>SUM(BO29:BO72)</f>
        <v>#DIV/0!</v>
      </c>
      <c r="BJ74" s="249"/>
      <c r="BK74" s="249"/>
      <c r="BL74" s="308"/>
      <c r="BM74" s="309"/>
      <c r="BN74" s="310" t="s">
        <v>24</v>
      </c>
      <c r="BO74" s="310" t="s">
        <v>51</v>
      </c>
      <c r="BP74" s="310" t="s">
        <v>387</v>
      </c>
      <c r="BQ74" s="168"/>
      <c r="BR74" s="168"/>
      <c r="BS74" s="186"/>
      <c r="BW74" s="187" t="e">
        <f>SUM(CD29:CD72)</f>
        <v>#DIV/0!</v>
      </c>
      <c r="BY74" s="308" t="e">
        <f>SUM(CE29:CE72)</f>
        <v>#DIV/0!</v>
      </c>
      <c r="BZ74" s="249"/>
      <c r="CA74" s="249"/>
      <c r="CB74" s="308"/>
      <c r="CC74" s="309"/>
      <c r="CD74" s="310" t="s">
        <v>24</v>
      </c>
      <c r="CE74" s="310" t="s">
        <v>51</v>
      </c>
      <c r="CF74" s="310" t="s">
        <v>387</v>
      </c>
      <c r="CG74" s="168"/>
      <c r="CH74" s="168"/>
      <c r="CI74" s="186"/>
      <c r="CM74" s="187" t="e">
        <f>SUM(CT29:CT72)</f>
        <v>#DIV/0!</v>
      </c>
      <c r="CO74" s="308" t="e">
        <f>SUM(CU29:CU72)</f>
        <v>#DIV/0!</v>
      </c>
      <c r="CP74" s="249"/>
      <c r="CQ74" s="249"/>
      <c r="CR74" s="308"/>
      <c r="CS74" s="309"/>
      <c r="CT74" s="310" t="s">
        <v>24</v>
      </c>
      <c r="CU74" s="310" t="s">
        <v>51</v>
      </c>
      <c r="CV74" s="310" t="s">
        <v>387</v>
      </c>
      <c r="CW74" s="168"/>
      <c r="CX74" s="168"/>
      <c r="CY74" s="186"/>
      <c r="DC74" s="187" t="e">
        <f>SUM(DJ29:DJ72)</f>
        <v>#DIV/0!</v>
      </c>
      <c r="DE74" s="308" t="e">
        <f>SUM(DK29:DK72)</f>
        <v>#DIV/0!</v>
      </c>
      <c r="DF74" s="249"/>
      <c r="DG74" s="249"/>
      <c r="DH74" s="308"/>
      <c r="DI74" s="309"/>
      <c r="DJ74" s="310" t="s">
        <v>24</v>
      </c>
      <c r="DK74" s="310" t="s">
        <v>51</v>
      </c>
      <c r="DL74" s="310" t="s">
        <v>387</v>
      </c>
      <c r="DM74" s="168"/>
      <c r="DN74" s="168"/>
      <c r="DO74" s="186"/>
      <c r="DS74" s="187" t="e">
        <f>SUM(DZ29:DZ72)</f>
        <v>#DIV/0!</v>
      </c>
      <c r="DU74" s="308" t="e">
        <f>SUM(EA29:EA72)</f>
        <v>#DIV/0!</v>
      </c>
      <c r="DV74" s="249"/>
      <c r="DW74" s="249"/>
      <c r="DX74" s="308"/>
      <c r="DY74" s="309"/>
      <c r="DZ74" s="310" t="s">
        <v>24</v>
      </c>
      <c r="EA74" s="310" t="s">
        <v>51</v>
      </c>
      <c r="EB74" s="310" t="s">
        <v>387</v>
      </c>
      <c r="EC74" s="168"/>
      <c r="ED74" s="168"/>
      <c r="EE74" s="186"/>
      <c r="EI74" s="187" t="e">
        <f>SUM(EP29:EP72)</f>
        <v>#DIV/0!</v>
      </c>
      <c r="EK74" s="308" t="e">
        <f>SUM(EQ29:EQ72)</f>
        <v>#DIV/0!</v>
      </c>
      <c r="EL74" s="249"/>
      <c r="EM74" s="249"/>
      <c r="EN74" s="308"/>
      <c r="EO74" s="309"/>
      <c r="EP74" s="310" t="s">
        <v>24</v>
      </c>
      <c r="EQ74" s="310" t="s">
        <v>51</v>
      </c>
      <c r="ER74" s="310" t="s">
        <v>387</v>
      </c>
      <c r="ES74" s="168"/>
      <c r="ET74" s="168"/>
      <c r="EU74" s="186"/>
      <c r="EY74" s="187" t="e">
        <f>SUM(FF29:FF72)</f>
        <v>#DIV/0!</v>
      </c>
      <c r="FA74" s="308" t="e">
        <f>SUM(FG29:FG72)</f>
        <v>#DIV/0!</v>
      </c>
      <c r="FB74" s="249"/>
      <c r="FC74" s="249"/>
      <c r="FD74" s="308"/>
      <c r="FE74" s="309"/>
      <c r="FF74" s="310" t="s">
        <v>24</v>
      </c>
      <c r="FG74" s="310" t="s">
        <v>51</v>
      </c>
      <c r="FH74" s="310" t="s">
        <v>387</v>
      </c>
      <c r="FI74" s="168"/>
      <c r="FJ74" s="168"/>
      <c r="FK74" s="186"/>
      <c r="FO74" s="187" t="e">
        <f>SUM(FV29:FV72)</f>
        <v>#DIV/0!</v>
      </c>
      <c r="FQ74" s="308" t="e">
        <f>SUM(FW29:FW72)</f>
        <v>#DIV/0!</v>
      </c>
      <c r="FR74" s="249"/>
      <c r="FS74" s="249"/>
      <c r="FT74" s="308"/>
      <c r="FU74" s="309"/>
      <c r="FV74" s="310" t="s">
        <v>24</v>
      </c>
      <c r="FW74" s="310" t="s">
        <v>51</v>
      </c>
      <c r="FX74" s="310" t="s">
        <v>387</v>
      </c>
      <c r="FY74" s="168"/>
      <c r="FZ74" s="168"/>
      <c r="GA74" s="186"/>
      <c r="GE74" s="187" t="e">
        <f>SUM(GL29:GL72)</f>
        <v>#DIV/0!</v>
      </c>
      <c r="GG74" s="308" t="e">
        <f>SUM(GM29:GM72)</f>
        <v>#DIV/0!</v>
      </c>
      <c r="GH74" s="249"/>
      <c r="GI74" s="249"/>
      <c r="GJ74" s="308"/>
      <c r="GK74" s="309"/>
      <c r="GL74" s="310" t="s">
        <v>24</v>
      </c>
      <c r="GM74" s="310" t="s">
        <v>51</v>
      </c>
      <c r="GN74" s="310" t="s">
        <v>387</v>
      </c>
      <c r="GO74" s="168"/>
      <c r="GP74" s="168"/>
      <c r="GQ74" s="186"/>
      <c r="GU74" s="187" t="e">
        <f>SUM(HB29:HB72)</f>
        <v>#DIV/0!</v>
      </c>
      <c r="GW74" s="308" t="e">
        <f>SUM(HC29:HC72)</f>
        <v>#DIV/0!</v>
      </c>
      <c r="GX74" s="249"/>
      <c r="GY74" s="249"/>
      <c r="GZ74" s="308"/>
      <c r="HA74" s="309"/>
      <c r="HB74" s="310" t="s">
        <v>24</v>
      </c>
      <c r="HC74" s="310" t="s">
        <v>51</v>
      </c>
      <c r="HD74" s="310" t="s">
        <v>387</v>
      </c>
      <c r="HE74" s="168"/>
      <c r="HF74" s="172"/>
      <c r="HG74" s="172"/>
      <c r="HH74" s="172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2.75" x14ac:dyDescent="0.2">
      <c r="B75" s="235" t="s">
        <v>160</v>
      </c>
      <c r="C75" s="220"/>
      <c r="D75" s="215"/>
      <c r="E75" s="215"/>
      <c r="F75" s="305" t="e">
        <f>SUM(N75*H5)/100</f>
        <v>#DIV/0!</v>
      </c>
      <c r="G75" s="215"/>
      <c r="H75" s="305" t="e">
        <f>SUM(O75*H6)/100</f>
        <v>#DIV/0!</v>
      </c>
      <c r="I75" s="215"/>
      <c r="J75" s="306">
        <f>SUM(P75*H7)/100</f>
        <v>0</v>
      </c>
      <c r="K75" s="239"/>
      <c r="M75" s="299" t="e">
        <f>IF(D36=0,0,(N75*D23+O75*D33+P75*D35)/D36)</f>
        <v>#DIV/0!</v>
      </c>
      <c r="N75" s="300" t="e">
        <f>IF(Data!E14=0,0,((Data!E161*Data!E158*Data!E54)/100/H5)*100)</f>
        <v>#DIV/0!</v>
      </c>
      <c r="O75" s="300" t="e">
        <f>IF(Data!E19=0,0,((Data!E161*Data!E157*Data!E54)/100)/H6*100)</f>
        <v>#DIV/0!</v>
      </c>
      <c r="P75" s="300">
        <f>IF(Data!E20=0,0,((Data!E161*Data!E159*Data!E54)/100/H7*100))</f>
        <v>0</v>
      </c>
      <c r="R75" s="913"/>
      <c r="V75" s="206"/>
      <c r="Z75" s="168">
        <f>IF(AB5=0,0,(AG12+AG13+AG16+AG17))</f>
        <v>554.0965712275331</v>
      </c>
      <c r="AB75" s="191">
        <f>IF(AB6=0,0,(AH19+AH20+AH23))</f>
        <v>492.42322682717077</v>
      </c>
      <c r="AC75" s="249"/>
      <c r="AD75" s="249"/>
      <c r="AE75" s="191"/>
      <c r="AF75" s="311"/>
      <c r="AG75" s="312" t="s">
        <v>434</v>
      </c>
      <c r="AH75" s="312" t="s">
        <v>434</v>
      </c>
      <c r="AI75" s="312" t="s">
        <v>434</v>
      </c>
      <c r="AM75" s="206"/>
      <c r="AQ75" s="168">
        <f>IF(AX12=0,0,(AX12+AX13+AX16+AX17))</f>
        <v>492.53028553558499</v>
      </c>
      <c r="AS75" s="191">
        <f>IF(AY19=0,0,(AY19+AY20+AY23))</f>
        <v>437.70953495748518</v>
      </c>
      <c r="AT75" s="249"/>
      <c r="AU75" s="249"/>
      <c r="AV75" s="191"/>
      <c r="AW75" s="311"/>
      <c r="AX75" s="312" t="s">
        <v>434</v>
      </c>
      <c r="AY75" s="312" t="s">
        <v>434</v>
      </c>
      <c r="AZ75" s="312" t="s">
        <v>434</v>
      </c>
      <c r="BC75" s="206"/>
      <c r="BG75" s="168">
        <f>IF(BN12=0,0,(BN12+BN13+BN16+BN17))</f>
        <v>443.27725698202653</v>
      </c>
      <c r="BI75" s="191">
        <f>IF(BO19=0,0,(BO19+BO20+BO23))</f>
        <v>393.93858146173659</v>
      </c>
      <c r="BJ75" s="249"/>
      <c r="BK75" s="249"/>
      <c r="BL75" s="191"/>
      <c r="BM75" s="311"/>
      <c r="BN75" s="312" t="s">
        <v>434</v>
      </c>
      <c r="BO75" s="312" t="s">
        <v>434</v>
      </c>
      <c r="BP75" s="312" t="s">
        <v>434</v>
      </c>
      <c r="BS75" s="206"/>
      <c r="BW75" s="168">
        <f>IF(CD12=0,0,(CD12+CD13+CD16+CD17))</f>
        <v>402.97932452911505</v>
      </c>
      <c r="BY75" s="191">
        <f>IF(CE19=0,0,(CE19+CE20+CE23))</f>
        <v>358.12598314703331</v>
      </c>
      <c r="BZ75" s="249"/>
      <c r="CA75" s="249"/>
      <c r="CB75" s="191"/>
      <c r="CC75" s="311"/>
      <c r="CD75" s="312" t="s">
        <v>434</v>
      </c>
      <c r="CE75" s="312" t="s">
        <v>434</v>
      </c>
      <c r="CF75" s="312" t="s">
        <v>434</v>
      </c>
      <c r="CI75" s="206"/>
      <c r="CM75" s="168">
        <f>IF(CT12=0,0,(CT12+CT13+CT16+CT17))</f>
        <v>369.39771415168877</v>
      </c>
      <c r="CO75" s="191">
        <f>IF(CU19=0,0,(CU19+CU20+CU23))</f>
        <v>328.28215121811388</v>
      </c>
      <c r="CP75" s="249"/>
      <c r="CQ75" s="249"/>
      <c r="CR75" s="191"/>
      <c r="CS75" s="311"/>
      <c r="CT75" s="312" t="s">
        <v>434</v>
      </c>
      <c r="CU75" s="312" t="s">
        <v>434</v>
      </c>
      <c r="CV75" s="312" t="s">
        <v>434</v>
      </c>
      <c r="CY75" s="206"/>
      <c r="DC75" s="168">
        <f>IF(DJ12=0,0,(DJ12+DJ13+DJ16+DJ17))</f>
        <v>340.98250537078962</v>
      </c>
      <c r="DE75" s="191">
        <f>IF(DK19=0,0,(DK19+DK20+DK23))</f>
        <v>303.02967804748971</v>
      </c>
      <c r="DF75" s="249"/>
      <c r="DG75" s="249"/>
      <c r="DH75" s="191"/>
      <c r="DI75" s="311"/>
      <c r="DJ75" s="312" t="s">
        <v>434</v>
      </c>
      <c r="DK75" s="312" t="s">
        <v>434</v>
      </c>
      <c r="DL75" s="312" t="s">
        <v>434</v>
      </c>
      <c r="DO75" s="206"/>
      <c r="DS75" s="168">
        <f>IF(DZ12=0,0,(DZ12+DZ13+DZ16+DZ17))</f>
        <v>316.62661213001894</v>
      </c>
      <c r="DU75" s="191">
        <f>IF(EA19=0,0,(EA19+EA20+EA23))</f>
        <v>281.3847010440976</v>
      </c>
      <c r="DV75" s="249"/>
      <c r="DW75" s="249"/>
      <c r="DX75" s="191"/>
      <c r="DY75" s="311"/>
      <c r="DZ75" s="312" t="s">
        <v>434</v>
      </c>
      <c r="EA75" s="312" t="s">
        <v>434</v>
      </c>
      <c r="EB75" s="312" t="s">
        <v>434</v>
      </c>
      <c r="EE75" s="206"/>
      <c r="EI75" s="168">
        <f>IF(EP12=0,0,(EP12+EP13+EP16+EP17))</f>
        <v>295.51817132135102</v>
      </c>
      <c r="EK75" s="191">
        <f>IF(EQ19=0,0,(EQ19+EQ20+EQ23))</f>
        <v>262.62572097449112</v>
      </c>
      <c r="EL75" s="249"/>
      <c r="EM75" s="249"/>
      <c r="EN75" s="191"/>
      <c r="EO75" s="311"/>
      <c r="EP75" s="312" t="s">
        <v>434</v>
      </c>
      <c r="EQ75" s="312" t="s">
        <v>434</v>
      </c>
      <c r="ER75" s="312" t="s">
        <v>434</v>
      </c>
      <c r="EU75" s="206"/>
      <c r="EY75" s="168">
        <f>IF(FF12=0,0,(FF12+FF13+FF16+FF17))</f>
        <v>277.04828561376655</v>
      </c>
      <c r="FA75" s="191">
        <f>IF(FG19=0,0,(FG19+FG20+FG23))</f>
        <v>246.21161341358538</v>
      </c>
      <c r="FB75" s="249"/>
      <c r="FC75" s="249"/>
      <c r="FD75" s="191"/>
      <c r="FE75" s="311"/>
      <c r="FF75" s="312" t="s">
        <v>434</v>
      </c>
      <c r="FG75" s="312" t="s">
        <v>434</v>
      </c>
      <c r="FH75" s="312" t="s">
        <v>434</v>
      </c>
      <c r="FK75" s="206"/>
      <c r="FO75" s="168">
        <f>IF(FV12=0,0,(FV12+FV13+FV16+FV17))</f>
        <v>260.75132763648617</v>
      </c>
      <c r="FQ75" s="191">
        <f>IF(FW19=0,0,(FW19+FW20+FW23))</f>
        <v>231.72857733043332</v>
      </c>
      <c r="FR75" s="249"/>
      <c r="FS75" s="249"/>
      <c r="FT75" s="191"/>
      <c r="FU75" s="311"/>
      <c r="FV75" s="312" t="s">
        <v>434</v>
      </c>
      <c r="FW75" s="312" t="s">
        <v>434</v>
      </c>
      <c r="FX75" s="312" t="s">
        <v>434</v>
      </c>
      <c r="GA75" s="206"/>
      <c r="GE75" s="168">
        <f>IF(GL12=0,0,(GL12+GL13+GL16+GL17))</f>
        <v>246.2651427677925</v>
      </c>
      <c r="GG75" s="191">
        <f>IF(GM19=0,0,(GM19+GM20+GM23))</f>
        <v>218.85476747874259</v>
      </c>
      <c r="GH75" s="249"/>
      <c r="GI75" s="249"/>
      <c r="GJ75" s="191"/>
      <c r="GK75" s="311"/>
      <c r="GL75" s="312" t="s">
        <v>434</v>
      </c>
      <c r="GM75" s="312" t="s">
        <v>434</v>
      </c>
      <c r="GN75" s="312" t="s">
        <v>434</v>
      </c>
      <c r="GQ75" s="206"/>
      <c r="GU75" s="168">
        <f>IF(HB12=0,0,(HB12+HB13+HB16+HB17))</f>
        <v>233.30381946422449</v>
      </c>
      <c r="GW75" s="191">
        <f>IF(HC19=0,0,(HC19+HC20+HC23))</f>
        <v>207.33609550617717</v>
      </c>
      <c r="GX75" s="249"/>
      <c r="GY75" s="249"/>
      <c r="GZ75" s="191"/>
      <c r="HA75" s="311"/>
      <c r="HB75" s="312" t="s">
        <v>434</v>
      </c>
      <c r="HC75" s="312" t="s">
        <v>434</v>
      </c>
      <c r="HD75" s="312" t="s">
        <v>434</v>
      </c>
      <c r="HF75" s="172"/>
      <c r="HG75" s="172"/>
      <c r="HH75" s="172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2.75" x14ac:dyDescent="0.2">
      <c r="B76" s="287" t="s">
        <v>167</v>
      </c>
      <c r="C76" s="179"/>
      <c r="D76" s="187"/>
      <c r="E76" s="187"/>
      <c r="F76" s="187"/>
      <c r="G76" s="187"/>
      <c r="H76" s="187"/>
      <c r="I76" s="187"/>
      <c r="J76" s="277"/>
      <c r="K76" s="288"/>
      <c r="L76" s="174"/>
      <c r="M76" s="289"/>
      <c r="N76" s="290"/>
      <c r="O76" s="290"/>
      <c r="P76" s="290"/>
      <c r="R76" s="913"/>
      <c r="V76" s="206"/>
      <c r="Z76" s="168" t="e">
        <f>SUM(AG29:AG72)</f>
        <v>#DIV/0!</v>
      </c>
      <c r="AB76" s="200" t="e">
        <f>SUM(AH29:AH72)</f>
        <v>#DIV/0!</v>
      </c>
      <c r="AC76" s="249"/>
      <c r="AD76" s="249"/>
      <c r="AE76" s="191"/>
      <c r="AF76" s="313" t="s">
        <v>435</v>
      </c>
      <c r="AG76" s="314" t="e">
        <f>IF($D$13=0,0,((Z74+Z75)/100))</f>
        <v>#DIV/0!</v>
      </c>
      <c r="AH76" s="314" t="e">
        <f>IF($D$24=0,0,(AB74+AB75)/100)</f>
        <v>#DIV/0!</v>
      </c>
      <c r="AI76" s="314">
        <f>IF($D$35=0,0,(AI30+AI31+AI42+AI50+AI51+AI52+AI54+AI55+AI56+AI62+AI65+AI66+AI68+AI69+AI70+AI71+AI72)/100)</f>
        <v>0</v>
      </c>
      <c r="AM76" s="206"/>
      <c r="AQ76" s="168" t="e">
        <f>SUM(AX29:AX72)</f>
        <v>#DIV/0!</v>
      </c>
      <c r="AS76" s="200" t="e">
        <f>SUM(AY29:AY72)</f>
        <v>#DIV/0!</v>
      </c>
      <c r="AT76" s="249"/>
      <c r="AU76" s="249"/>
      <c r="AV76" s="191"/>
      <c r="AW76" s="313" t="s">
        <v>435</v>
      </c>
      <c r="AX76" s="314" t="e">
        <f>IF($D$13=0,0,((AQ74+AQ75)/100))</f>
        <v>#DIV/0!</v>
      </c>
      <c r="AY76" s="314" t="e">
        <f>IF($D$24=0,0,(AS74+AS75)/100)</f>
        <v>#DIV/0!</v>
      </c>
      <c r="AZ76" s="314">
        <f>IF($D$35=0,0,(AZ30+AZ31+AZ42+AZ50+AZ51+AZ52+AZ54+AZ55+AZ56+AZ62+AZ65+AZ66+AZ68+AZ69+AZ70+AZ71+AZ72)/100)</f>
        <v>0</v>
      </c>
      <c r="BC76" s="206"/>
      <c r="BG76" s="168" t="e">
        <f>SUM(BN29:BN72)</f>
        <v>#DIV/0!</v>
      </c>
      <c r="BI76" s="200" t="e">
        <f>SUM(BO29:BO72)</f>
        <v>#DIV/0!</v>
      </c>
      <c r="BJ76" s="249"/>
      <c r="BK76" s="249"/>
      <c r="BL76" s="191"/>
      <c r="BM76" s="313" t="s">
        <v>435</v>
      </c>
      <c r="BN76" s="314" t="e">
        <f>IF($D$13=0,0,((BG74+BG75)/100))</f>
        <v>#DIV/0!</v>
      </c>
      <c r="BO76" s="314" t="e">
        <f>IF($D$24=0,0,(BI74+BI75)/100)</f>
        <v>#DIV/0!</v>
      </c>
      <c r="BP76" s="314">
        <f>IF($D$35=0,0,(BP30+BP31+BP42+BP50+BP51+BP52+BP54+BP55+BP56+BP62+BP65+BP66+BP68+BP69+BP70+BP71+BP72)/100)</f>
        <v>0</v>
      </c>
      <c r="BS76" s="206"/>
      <c r="BW76" s="168" t="e">
        <f>SUM(CD29:CD72)</f>
        <v>#DIV/0!</v>
      </c>
      <c r="BY76" s="200" t="e">
        <f>SUM(CE29:CE72)</f>
        <v>#DIV/0!</v>
      </c>
      <c r="BZ76" s="249"/>
      <c r="CA76" s="249"/>
      <c r="CB76" s="191"/>
      <c r="CC76" s="313" t="s">
        <v>435</v>
      </c>
      <c r="CD76" s="314" t="e">
        <f>IF($D$13=0,0,((BW74+BW75)/100))</f>
        <v>#DIV/0!</v>
      </c>
      <c r="CE76" s="314" t="e">
        <f>IF($D$24=0,0,(BY74+BY75)/100)</f>
        <v>#DIV/0!</v>
      </c>
      <c r="CF76" s="314">
        <f>IF($D$35=0,0,(CF30+CF31+CF42+CF50+CF51+CF52+CF54+CF55+CF56+CF62+CF65+CF66+CF68+CF69+CF70+CF71+CF72)/100)</f>
        <v>0</v>
      </c>
      <c r="CI76" s="206"/>
      <c r="CM76" s="168" t="e">
        <f>SUM(CT29:CT72)</f>
        <v>#DIV/0!</v>
      </c>
      <c r="CO76" s="200" t="e">
        <f>SUM(CU29:CU72)</f>
        <v>#DIV/0!</v>
      </c>
      <c r="CP76" s="249"/>
      <c r="CQ76" s="249"/>
      <c r="CR76" s="191"/>
      <c r="CS76" s="313" t="s">
        <v>435</v>
      </c>
      <c r="CT76" s="314" t="e">
        <f>IF($D$13=0,0,((CM74+CM75)/100))</f>
        <v>#DIV/0!</v>
      </c>
      <c r="CU76" s="314" t="e">
        <f>IF($D$24=0,0,(CO74+CO75)/100)</f>
        <v>#DIV/0!</v>
      </c>
      <c r="CV76" s="314">
        <f>IF($D$35=0,0,(CV30+CV31+CV42+CV50+CV51+CV52+CV54+CV55+CV56+CV62+CV65+CV66+CV68+CV69+CV70+CV71+CV72)/100)</f>
        <v>0</v>
      </c>
      <c r="CY76" s="206"/>
      <c r="DC76" s="168" t="e">
        <f>SUM(DJ29:DJ72)</f>
        <v>#DIV/0!</v>
      </c>
      <c r="DE76" s="200" t="e">
        <f>SUM(DK29:DK72)</f>
        <v>#DIV/0!</v>
      </c>
      <c r="DF76" s="249"/>
      <c r="DG76" s="249"/>
      <c r="DH76" s="191"/>
      <c r="DI76" s="313" t="s">
        <v>435</v>
      </c>
      <c r="DJ76" s="314" t="e">
        <f>IF($D$13=0,0,((DC74+DC75)/100))</f>
        <v>#DIV/0!</v>
      </c>
      <c r="DK76" s="314" t="e">
        <f>IF($D$24=0,0,(DE74+DE75)/100)</f>
        <v>#DIV/0!</v>
      </c>
      <c r="DL76" s="314">
        <f>IF($D$35=0,0,(DL30+DL31+DL42+DL50+DL51+DL52+DL54+DL55+DL56+DL62+DL65+DL66+DL68+DL69+DL70+DL71+DL72)/100)</f>
        <v>0</v>
      </c>
      <c r="DO76" s="206"/>
      <c r="DS76" s="168" t="e">
        <f>SUM(DZ29:DZ72)</f>
        <v>#DIV/0!</v>
      </c>
      <c r="DU76" s="200" t="e">
        <f>SUM(EA29:EA72)</f>
        <v>#DIV/0!</v>
      </c>
      <c r="DV76" s="249"/>
      <c r="DW76" s="249"/>
      <c r="DX76" s="191"/>
      <c r="DY76" s="313" t="s">
        <v>435</v>
      </c>
      <c r="DZ76" s="314" t="e">
        <f>IF($D$13=0,0,((DS74+DS75)/100))</f>
        <v>#DIV/0!</v>
      </c>
      <c r="EA76" s="314" t="e">
        <f>IF($D$24=0,0,(DU74+DU75)/100)</f>
        <v>#DIV/0!</v>
      </c>
      <c r="EB76" s="314">
        <f>IF($D$35=0,0,(EB30+EB31+EB42+EB50+EB51+EB52+EB54+EB55+EB56+EB62+EB65+EB66+EB68+EB69+EB70+EB71+EB72)/100)</f>
        <v>0</v>
      </c>
      <c r="EE76" s="206"/>
      <c r="EI76" s="168" t="e">
        <f>SUM(EP29:EP72)</f>
        <v>#DIV/0!</v>
      </c>
      <c r="EK76" s="200" t="e">
        <f>SUM(EQ29:EQ72)</f>
        <v>#DIV/0!</v>
      </c>
      <c r="EL76" s="249"/>
      <c r="EM76" s="249"/>
      <c r="EN76" s="191"/>
      <c r="EO76" s="313" t="s">
        <v>435</v>
      </c>
      <c r="EP76" s="314" t="e">
        <f>IF($D$13=0,0,((EI74+EI75)/100))</f>
        <v>#DIV/0!</v>
      </c>
      <c r="EQ76" s="314" t="e">
        <f>IF($D$24=0,0,(EK74+EK75)/100)</f>
        <v>#DIV/0!</v>
      </c>
      <c r="ER76" s="314">
        <f>IF($D$35=0,0,(ER30+ER31+ER42+ER50+ER51+ER52+ER54+ER55+ER56+ER62+ER65+ER66+ER68+ER69+ER70+ER71+ER72)/100)</f>
        <v>0</v>
      </c>
      <c r="EU76" s="206"/>
      <c r="EY76" s="168" t="e">
        <f>SUM(FF29:FF72)</f>
        <v>#DIV/0!</v>
      </c>
      <c r="FA76" s="200" t="e">
        <f>SUM(FG29:FG72)</f>
        <v>#DIV/0!</v>
      </c>
      <c r="FB76" s="249"/>
      <c r="FC76" s="249"/>
      <c r="FD76" s="191"/>
      <c r="FE76" s="313" t="s">
        <v>435</v>
      </c>
      <c r="FF76" s="314" t="e">
        <f>IF($D$13=0,0,((EY74+EY75)/100))</f>
        <v>#DIV/0!</v>
      </c>
      <c r="FG76" s="314" t="e">
        <f>IF($D$24=0,0,(FA74+FA75)/100)</f>
        <v>#DIV/0!</v>
      </c>
      <c r="FH76" s="314">
        <f>IF($D$35=0,0,(FH30+FH31+FH42+FH50+FH51+FH52+FH54+FH55+FH56+FH62+FH65+FH66+FH68+FH69+FH70+FH71+FH72)/100)</f>
        <v>0</v>
      </c>
      <c r="FK76" s="206"/>
      <c r="FO76" s="168" t="e">
        <f>SUM(FV29:FV72)</f>
        <v>#DIV/0!</v>
      </c>
      <c r="FQ76" s="200" t="e">
        <f>SUM(FW29:FW72)</f>
        <v>#DIV/0!</v>
      </c>
      <c r="FR76" s="249"/>
      <c r="FS76" s="249"/>
      <c r="FT76" s="191"/>
      <c r="FU76" s="313" t="s">
        <v>435</v>
      </c>
      <c r="FV76" s="314" t="e">
        <f>IF($D$13=0,0,((FO74+FO75)/100))</f>
        <v>#DIV/0!</v>
      </c>
      <c r="FW76" s="314" t="e">
        <f>IF($D$24=0,0,(FQ74+FQ75)/100)</f>
        <v>#DIV/0!</v>
      </c>
      <c r="FX76" s="314">
        <f>IF($D$35=0,0,(FX30+FX31+FX42+FX50+FX51+FX52+FX54+FX55+FX56+FX62+FX65+FX66+FX68+FX69+FX70+FX71+FX72)/100)</f>
        <v>0</v>
      </c>
      <c r="GA76" s="206"/>
      <c r="GE76" s="168" t="e">
        <f>SUM(GL29:GL72)</f>
        <v>#DIV/0!</v>
      </c>
      <c r="GG76" s="200" t="e">
        <f>SUM(GM29:GM72)</f>
        <v>#DIV/0!</v>
      </c>
      <c r="GH76" s="249"/>
      <c r="GI76" s="249"/>
      <c r="GJ76" s="191"/>
      <c r="GK76" s="313" t="s">
        <v>435</v>
      </c>
      <c r="GL76" s="314" t="e">
        <f>IF($D$13=0,0,((GE74+GE75)/100))</f>
        <v>#DIV/0!</v>
      </c>
      <c r="GM76" s="314" t="e">
        <f>IF($D$24=0,0,(GG74+GG75)/100)</f>
        <v>#DIV/0!</v>
      </c>
      <c r="GN76" s="314">
        <f>IF($D$35=0,0,(GN30+GN31+GN42+GN50+GN51+GN52+GN54+GN55+GN56+GN62+GN65+GN66+GN68+GN69+GN70+GN71+GN72)/100)</f>
        <v>0</v>
      </c>
      <c r="GQ76" s="206"/>
      <c r="GU76" s="168" t="e">
        <f>SUM(HB29:HB72)</f>
        <v>#DIV/0!</v>
      </c>
      <c r="GW76" s="200" t="e">
        <f>SUM(HC29:HC72)</f>
        <v>#DIV/0!</v>
      </c>
      <c r="GX76" s="249"/>
      <c r="GY76" s="249"/>
      <c r="GZ76" s="191"/>
      <c r="HA76" s="313" t="s">
        <v>435</v>
      </c>
      <c r="HB76" s="314" t="e">
        <f>IF($D$13=0,0,((GU74+GU75)/100))</f>
        <v>#DIV/0!</v>
      </c>
      <c r="HC76" s="314" t="e">
        <f>IF($D$24=0,0,(GW74+GW75)/100)</f>
        <v>#DIV/0!</v>
      </c>
      <c r="HD76" s="314">
        <f>IF($D$35=0,0,(HD30+HD31+HD42+HD50+HD51+HD52+HD54+HD55+HD56+HD62+HD65+HD66+HD68+HD69+HD70+HD71+HD72)/100)</f>
        <v>0</v>
      </c>
      <c r="HF76" s="172"/>
      <c r="HG76" s="172"/>
      <c r="HH76" s="172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2.75" x14ac:dyDescent="0.2">
      <c r="B77" s="202" t="s">
        <v>70</v>
      </c>
      <c r="D77" s="168"/>
      <c r="E77" s="168"/>
      <c r="F77" s="168"/>
      <c r="G77" s="168"/>
      <c r="H77" s="168"/>
      <c r="I77" s="168"/>
      <c r="J77" s="191"/>
      <c r="K77" s="183"/>
      <c r="M77" s="184">
        <f>IF(Data!E55=0,0,(Data!J165))</f>
        <v>30.5</v>
      </c>
      <c r="N77" s="248">
        <f>IF(H5=0,0,(M77/H5*100))</f>
        <v>0</v>
      </c>
      <c r="O77" s="248">
        <f>IF(H6=0,0,(M77/H6*100))</f>
        <v>0</v>
      </c>
      <c r="P77" s="248">
        <f>IF(H7=0,0,(M77/H7*100))</f>
        <v>0</v>
      </c>
      <c r="R77" s="913"/>
      <c r="V77" s="206"/>
      <c r="Z77" s="168">
        <f>IF(AG14=0,0,(AG14+AG15+AG16+AG17))</f>
        <v>515.21639309574471</v>
      </c>
      <c r="AB77" s="200">
        <f>IF(AH21=0,0,(AH21+AH22+AH23))</f>
        <v>756.77932925561549</v>
      </c>
      <c r="AC77" s="249"/>
      <c r="AD77" s="249"/>
      <c r="AE77" s="191"/>
      <c r="AF77" s="315" t="s">
        <v>61</v>
      </c>
      <c r="AG77" s="316" t="e">
        <f>SUM(AG76*AB5)</f>
        <v>#DIV/0!</v>
      </c>
      <c r="AH77" s="317" t="e">
        <f>SUM(AH76*AB6)</f>
        <v>#DIV/0!</v>
      </c>
      <c r="AI77" s="318">
        <f>SUM(AI76*AB7)</f>
        <v>0</v>
      </c>
      <c r="AM77" s="206"/>
      <c r="AQ77" s="168">
        <f>IF(AX14=0,0,(AX14+AX15+AX16+AX17))</f>
        <v>457.97012719621745</v>
      </c>
      <c r="AS77" s="200">
        <f>IF(AY21=0,0,(AY21+AY22+AY23))</f>
        <v>672.69273711610265</v>
      </c>
      <c r="AT77" s="249"/>
      <c r="AU77" s="249"/>
      <c r="AV77" s="191"/>
      <c r="AW77" s="315" t="s">
        <v>61</v>
      </c>
      <c r="AX77" s="316" t="e">
        <f>SUM(AX76*AS5)</f>
        <v>#DIV/0!</v>
      </c>
      <c r="AY77" s="317" t="e">
        <f>SUM(AY76*AS6)</f>
        <v>#DIV/0!</v>
      </c>
      <c r="AZ77" s="318">
        <f>SUM(AZ76*AS7)</f>
        <v>0</v>
      </c>
      <c r="BC77" s="206"/>
      <c r="BG77" s="168">
        <f>IF(BN14=0,0,(BN14+BN15+BN16+BN17))</f>
        <v>412.17311447659574</v>
      </c>
      <c r="BI77" s="200">
        <f>IF(BO21=0,0,(BO21+BO22+BO23))</f>
        <v>605.4234634044924</v>
      </c>
      <c r="BJ77" s="249"/>
      <c r="BK77" s="249"/>
      <c r="BL77" s="191"/>
      <c r="BM77" s="315" t="s">
        <v>61</v>
      </c>
      <c r="BN77" s="316" t="e">
        <f>SUM(BN76*BI5)</f>
        <v>#DIV/0!</v>
      </c>
      <c r="BO77" s="317" t="e">
        <f>SUM(BO76*BI6)</f>
        <v>#DIV/0!</v>
      </c>
      <c r="BP77" s="318">
        <f>SUM(BP76*BI7)</f>
        <v>0</v>
      </c>
      <c r="BS77" s="206"/>
      <c r="BW77" s="168">
        <f>IF(CD14=0,0,(CD14+CD15+CD16+CD17))</f>
        <v>374.70283134235979</v>
      </c>
      <c r="BY77" s="200">
        <f>IF(CE21=0,0,(CE21+CE22+CE23))</f>
        <v>550.38496673135671</v>
      </c>
      <c r="BZ77" s="249"/>
      <c r="CA77" s="249"/>
      <c r="CB77" s="191"/>
      <c r="CC77" s="315" t="s">
        <v>61</v>
      </c>
      <c r="CD77" s="316" t="e">
        <f>SUM(CD76*BY5)</f>
        <v>#DIV/0!</v>
      </c>
      <c r="CE77" s="317" t="e">
        <f>SUM(CE76*BY6)</f>
        <v>#DIV/0!</v>
      </c>
      <c r="CF77" s="318">
        <f>SUM(CF76*BY7)</f>
        <v>0</v>
      </c>
      <c r="CI77" s="206"/>
      <c r="CM77" s="168">
        <f>IF(CT14=0,0,(CT14+CT15+CT16+CT17))</f>
        <v>343.47759539716316</v>
      </c>
      <c r="CO77" s="200">
        <f>IF(CU21=0,0,(CU21+CU22+CU23))</f>
        <v>504.51955283707696</v>
      </c>
      <c r="CP77" s="249"/>
      <c r="CQ77" s="249"/>
      <c r="CR77" s="191"/>
      <c r="CS77" s="315" t="s">
        <v>61</v>
      </c>
      <c r="CT77" s="316" t="e">
        <f>SUM(CT76*CO5)</f>
        <v>#DIV/0!</v>
      </c>
      <c r="CU77" s="317" t="e">
        <f>SUM(CU76*CO6)</f>
        <v>#DIV/0!</v>
      </c>
      <c r="CV77" s="318">
        <f>SUM(CV76*CO7)</f>
        <v>0</v>
      </c>
      <c r="CY77" s="206"/>
      <c r="DC77" s="168">
        <f>IF(DJ14=0,0,(DJ14+DJ15+DJ16+DJ17))</f>
        <v>317.05624190507365</v>
      </c>
      <c r="DE77" s="200">
        <f>IF(DK21=0,0,(DK21+DK22+DK23))</f>
        <v>465.71035646499411</v>
      </c>
      <c r="DF77" s="249"/>
      <c r="DG77" s="249"/>
      <c r="DH77" s="191"/>
      <c r="DI77" s="315" t="s">
        <v>61</v>
      </c>
      <c r="DJ77" s="316" t="e">
        <f>SUM(DJ76*DE5)</f>
        <v>#DIV/0!</v>
      </c>
      <c r="DK77" s="317" t="e">
        <f>SUM(DK76*DE6)</f>
        <v>#DIV/0!</v>
      </c>
      <c r="DL77" s="318">
        <f>SUM(DL76*DE7)</f>
        <v>0</v>
      </c>
      <c r="DO77" s="206"/>
      <c r="DS77" s="168">
        <f>IF(DZ14=0,0,(DZ14+DZ15+DZ16+DZ17))</f>
        <v>294.40936748328267</v>
      </c>
      <c r="DU77" s="200">
        <f>IF(EA21=0,0,(EA21+EA22+EA23))</f>
        <v>432.44533100320888</v>
      </c>
      <c r="DV77" s="249"/>
      <c r="DW77" s="249"/>
      <c r="DX77" s="191"/>
      <c r="DY77" s="315" t="s">
        <v>61</v>
      </c>
      <c r="DZ77" s="316" t="e">
        <f>SUM(DZ76*DU5)</f>
        <v>#DIV/0!</v>
      </c>
      <c r="EA77" s="317" t="e">
        <f>SUM(EA76*DU6)</f>
        <v>#DIV/0!</v>
      </c>
      <c r="EB77" s="318">
        <f>SUM(EB76*DU7)</f>
        <v>0</v>
      </c>
      <c r="EE77" s="206"/>
      <c r="EI77" s="168">
        <f>IF(EP14=0,0,(EP14+EP15+EP16+EP17))</f>
        <v>274.78207631773051</v>
      </c>
      <c r="EK77" s="200">
        <f>IF(EQ21=0,0,(EQ21+EQ22+EQ23))</f>
        <v>403.61564226966163</v>
      </c>
      <c r="EL77" s="249"/>
      <c r="EM77" s="249"/>
      <c r="EN77" s="191"/>
      <c r="EO77" s="315" t="s">
        <v>61</v>
      </c>
      <c r="EP77" s="316" t="e">
        <f>SUM(EP76*EK5)</f>
        <v>#DIV/0!</v>
      </c>
      <c r="EQ77" s="317" t="e">
        <f>SUM(EQ76*EK6)</f>
        <v>#DIV/0!</v>
      </c>
      <c r="ER77" s="318">
        <f>SUM(ER76*EK7)</f>
        <v>0</v>
      </c>
      <c r="EU77" s="206"/>
      <c r="EY77" s="168">
        <f>IF(FF14=0,0,(FF14+FF15+FF16+FF17))</f>
        <v>257.60819654787235</v>
      </c>
      <c r="FA77" s="200">
        <f>IF(FG21=0,0,(FG21+FG22+FG23))</f>
        <v>378.38966462780775</v>
      </c>
      <c r="FB77" s="249"/>
      <c r="FC77" s="249"/>
      <c r="FD77" s="191"/>
      <c r="FE77" s="315" t="s">
        <v>61</v>
      </c>
      <c r="FF77" s="316" t="e">
        <f>SUM(FF76*FA5)</f>
        <v>#DIV/0!</v>
      </c>
      <c r="FG77" s="317" t="e">
        <f>SUM(FG76*FA6)</f>
        <v>#DIV/0!</v>
      </c>
      <c r="FH77" s="318">
        <f>SUM(FH76*FA7)</f>
        <v>0</v>
      </c>
      <c r="FK77" s="206"/>
      <c r="FO77" s="168">
        <f>IF(FV14=0,0,(FV14+FV15+FV16+FV17))</f>
        <v>242.45477322152692</v>
      </c>
      <c r="FQ77" s="200">
        <f>IF(FW21=0,0,(FW21+FW22+FW23))</f>
        <v>356.13144906146613</v>
      </c>
      <c r="FR77" s="249"/>
      <c r="FS77" s="249"/>
      <c r="FT77" s="191"/>
      <c r="FU77" s="315" t="s">
        <v>61</v>
      </c>
      <c r="FV77" s="316" t="e">
        <f>SUM(FV76*FQ5)</f>
        <v>#DIV/0!</v>
      </c>
      <c r="FW77" s="317" t="e">
        <f>SUM(FW76*FQ6)</f>
        <v>#DIV/0!</v>
      </c>
      <c r="FX77" s="318">
        <f>SUM(FX76*FQ7)</f>
        <v>0</v>
      </c>
      <c r="GA77" s="206"/>
      <c r="GE77" s="168">
        <f>IF(GL14=0,0,(GL14+GL15+GL16+GL17))</f>
        <v>228.98506359810872</v>
      </c>
      <c r="GG77" s="200">
        <f>IF(GM21=0,0,(GM21+GM22+GM23))</f>
        <v>336.34636855805132</v>
      </c>
      <c r="GH77" s="249"/>
      <c r="GI77" s="249"/>
      <c r="GJ77" s="191"/>
      <c r="GK77" s="315" t="s">
        <v>61</v>
      </c>
      <c r="GL77" s="316" t="e">
        <f>SUM(GL76*GG5)</f>
        <v>#DIV/0!</v>
      </c>
      <c r="GM77" s="317" t="e">
        <f>SUM(GM76*GG6)</f>
        <v>#DIV/0!</v>
      </c>
      <c r="GN77" s="318">
        <f>SUM(GN76*GG7)</f>
        <v>0</v>
      </c>
      <c r="GQ77" s="206"/>
      <c r="GU77" s="168">
        <f>IF(HB14=0,0,(HB14+HB15+HB16+HB17))</f>
        <v>216.93321814557672</v>
      </c>
      <c r="GW77" s="200">
        <f>IF(HC21=0,0,(HC21+HC22+HC23))</f>
        <v>318.64392810762757</v>
      </c>
      <c r="GX77" s="249"/>
      <c r="GY77" s="249"/>
      <c r="GZ77" s="191"/>
      <c r="HA77" s="315" t="s">
        <v>61</v>
      </c>
      <c r="HB77" s="316" t="e">
        <f>SUM(HB76*GW5)</f>
        <v>#DIV/0!</v>
      </c>
      <c r="HC77" s="317" t="e">
        <f>SUM(HC76*GW6)</f>
        <v>#DIV/0!</v>
      </c>
      <c r="HD77" s="318">
        <f>SUM(HD76*GW7)</f>
        <v>0</v>
      </c>
      <c r="HF77" s="172"/>
      <c r="HG77" s="172"/>
      <c r="HH77" s="172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2.75" x14ac:dyDescent="0.2">
      <c r="B78" s="202" t="s">
        <v>171</v>
      </c>
      <c r="D78" s="168"/>
      <c r="E78" s="168"/>
      <c r="F78" s="168"/>
      <c r="G78" s="168"/>
      <c r="H78" s="168"/>
      <c r="I78" s="168"/>
      <c r="J78" s="191"/>
      <c r="K78" s="183"/>
      <c r="M78" s="184">
        <f>IF(Data!E167=0,0,Data!F167)</f>
        <v>55</v>
      </c>
      <c r="N78" s="248">
        <f>IF(H5=0,0,(M78/H5*100))</f>
        <v>0</v>
      </c>
      <c r="O78" s="248">
        <f>IF(H6=0,0,(M78/H6*100))</f>
        <v>0</v>
      </c>
      <c r="P78" s="248">
        <f>IF(H7=0,0,(M78/H7*100))</f>
        <v>0</v>
      </c>
      <c r="R78" s="913"/>
      <c r="V78" s="206"/>
      <c r="AB78" s="200"/>
      <c r="AC78" s="249"/>
      <c r="AD78" s="249"/>
      <c r="AE78" s="191"/>
      <c r="AF78" s="315"/>
      <c r="AG78" s="319" t="e">
        <f>IF(AG77=0,0,(AD85-AG77))</f>
        <v>#DIV/0!</v>
      </c>
      <c r="AH78" s="320" t="e">
        <f>IF(AH77=0,0,(AD87-AH77))</f>
        <v>#DIV/0!</v>
      </c>
      <c r="AI78" s="321">
        <f>IF(AI77=0,0,(AD89-AI77))</f>
        <v>0</v>
      </c>
      <c r="AM78" s="206"/>
      <c r="AS78" s="200"/>
      <c r="AT78" s="249"/>
      <c r="AU78" s="249"/>
      <c r="AV78" s="191"/>
      <c r="AW78" s="315"/>
      <c r="AX78" s="319" t="e">
        <f>IF(AX77=0,0,(AU85-AX77))</f>
        <v>#DIV/0!</v>
      </c>
      <c r="AY78" s="320" t="e">
        <f>IF(AY77=0,0,(AU87-AY77))</f>
        <v>#DIV/0!</v>
      </c>
      <c r="AZ78" s="321">
        <f>IF(AZ77=0,0,(AU89-AZ77))</f>
        <v>0</v>
      </c>
      <c r="BC78" s="206"/>
      <c r="BI78" s="200"/>
      <c r="BJ78" s="249"/>
      <c r="BK78" s="249"/>
      <c r="BL78" s="191"/>
      <c r="BM78" s="315"/>
      <c r="BN78" s="319" t="e">
        <f>IF(BN77=0,0,(BK85-BN77))</f>
        <v>#DIV/0!</v>
      </c>
      <c r="BO78" s="320" t="e">
        <f>IF(BO77=0,0,(BK87-BO77))</f>
        <v>#DIV/0!</v>
      </c>
      <c r="BP78" s="321">
        <f>IF(BP77=0,0,(BK89-BP77))</f>
        <v>0</v>
      </c>
      <c r="BS78" s="206"/>
      <c r="BY78" s="200"/>
      <c r="BZ78" s="249"/>
      <c r="CA78" s="249"/>
      <c r="CB78" s="191"/>
      <c r="CC78" s="315"/>
      <c r="CD78" s="319" t="e">
        <f>IF(CD77=0,0,(CA85-CD77))</f>
        <v>#DIV/0!</v>
      </c>
      <c r="CE78" s="320" t="e">
        <f>IF(CE77=0,0,(CA87-CE77))</f>
        <v>#DIV/0!</v>
      </c>
      <c r="CF78" s="321">
        <f>IF(CF77=0,0,(CA89-CF77))</f>
        <v>0</v>
      </c>
      <c r="CI78" s="206"/>
      <c r="CO78" s="200"/>
      <c r="CP78" s="249"/>
      <c r="CQ78" s="249"/>
      <c r="CR78" s="191"/>
      <c r="CS78" s="315"/>
      <c r="CT78" s="319" t="e">
        <f>IF(CT77=0,0,(CQ85-CT77))</f>
        <v>#DIV/0!</v>
      </c>
      <c r="CU78" s="320" t="e">
        <f>IF(CU77=0,0,(CQ87-CU77))</f>
        <v>#DIV/0!</v>
      </c>
      <c r="CV78" s="321">
        <f>IF(CV77=0,0,(CQ89-CV77))</f>
        <v>0</v>
      </c>
      <c r="CY78" s="206"/>
      <c r="DE78" s="200"/>
      <c r="DF78" s="249"/>
      <c r="DG78" s="249"/>
      <c r="DH78" s="191"/>
      <c r="DI78" s="315"/>
      <c r="DJ78" s="319" t="e">
        <f>IF(DJ77=0,0,(DG85-DJ77))</f>
        <v>#DIV/0!</v>
      </c>
      <c r="DK78" s="320" t="e">
        <f>IF(DK77=0,0,(DG87-DK77))</f>
        <v>#DIV/0!</v>
      </c>
      <c r="DL78" s="321">
        <f>IF(DL77=0,0,(DG89-DL77))</f>
        <v>0</v>
      </c>
      <c r="DO78" s="206"/>
      <c r="DU78" s="200"/>
      <c r="DV78" s="249"/>
      <c r="DW78" s="249"/>
      <c r="DX78" s="191"/>
      <c r="DY78" s="315"/>
      <c r="DZ78" s="319" t="e">
        <f>IF(DZ77=0,0,(DW85-DZ77))</f>
        <v>#DIV/0!</v>
      </c>
      <c r="EA78" s="320" t="e">
        <f>IF(EA77=0,0,(DW87-EA77))</f>
        <v>#DIV/0!</v>
      </c>
      <c r="EB78" s="321">
        <f>IF(EB77=0,0,(DW89-EB77))</f>
        <v>0</v>
      </c>
      <c r="EE78" s="206"/>
      <c r="EK78" s="200"/>
      <c r="EL78" s="249"/>
      <c r="EM78" s="249"/>
      <c r="EN78" s="191"/>
      <c r="EO78" s="315"/>
      <c r="EP78" s="319" t="e">
        <f>IF(EP77=0,0,(EM85-EP77))</f>
        <v>#DIV/0!</v>
      </c>
      <c r="EQ78" s="320" t="e">
        <f>IF(EQ77=0,0,(EM87-EQ77))</f>
        <v>#DIV/0!</v>
      </c>
      <c r="ER78" s="321">
        <f>IF(ER77=0,0,(EM89-ER77))</f>
        <v>0</v>
      </c>
      <c r="EU78" s="206"/>
      <c r="FA78" s="200"/>
      <c r="FB78" s="249"/>
      <c r="FC78" s="249"/>
      <c r="FD78" s="191"/>
      <c r="FE78" s="315"/>
      <c r="FF78" s="319" t="e">
        <f>IF(FF77=0,0,(FC85-FF77))</f>
        <v>#DIV/0!</v>
      </c>
      <c r="FG78" s="320" t="e">
        <f>IF(FG77=0,0,(FC87-FG77))</f>
        <v>#DIV/0!</v>
      </c>
      <c r="FH78" s="321">
        <f>IF(FH77=0,0,(FC89-FH77))</f>
        <v>0</v>
      </c>
      <c r="FK78" s="206"/>
      <c r="FQ78" s="200"/>
      <c r="FR78" s="249"/>
      <c r="FS78" s="249"/>
      <c r="FT78" s="191"/>
      <c r="FU78" s="315"/>
      <c r="FV78" s="319" t="e">
        <f>IF(FV77=0,0,(FS85-FV77))</f>
        <v>#DIV/0!</v>
      </c>
      <c r="FW78" s="320" t="e">
        <f>IF(FW77=0,0,(FS87-FW77))</f>
        <v>#DIV/0!</v>
      </c>
      <c r="FX78" s="321">
        <f>IF(FX77=0,0,(FS89-FX77))</f>
        <v>0</v>
      </c>
      <c r="GA78" s="206"/>
      <c r="GG78" s="200"/>
      <c r="GH78" s="249"/>
      <c r="GI78" s="249"/>
      <c r="GJ78" s="191"/>
      <c r="GK78" s="315"/>
      <c r="GL78" s="319" t="e">
        <f>IF(GL77=0,0,(GI85-GL77))</f>
        <v>#DIV/0!</v>
      </c>
      <c r="GM78" s="320" t="e">
        <f>IF(GM77=0,0,(GI87-GM77))</f>
        <v>#DIV/0!</v>
      </c>
      <c r="GN78" s="321">
        <f>IF(GN77=0,0,(GI89-GN77))</f>
        <v>0</v>
      </c>
      <c r="GQ78" s="206"/>
      <c r="GW78" s="200"/>
      <c r="GX78" s="249"/>
      <c r="GY78" s="249"/>
      <c r="GZ78" s="191"/>
      <c r="HA78" s="315"/>
      <c r="HB78" s="319" t="e">
        <f>IF(HB77=0,0,(GY85-HB77))</f>
        <v>#DIV/0!</v>
      </c>
      <c r="HC78" s="320" t="e">
        <f>IF(HC77=0,0,(GY87-HC77))</f>
        <v>#DIV/0!</v>
      </c>
      <c r="HD78" s="321">
        <f>IF(HD77=0,0,(GY89-HD77))</f>
        <v>0</v>
      </c>
      <c r="HF78" s="172"/>
      <c r="HG78" s="172"/>
      <c r="HH78" s="172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2.75" x14ac:dyDescent="0.2">
      <c r="B79" s="202" t="s">
        <v>431</v>
      </c>
      <c r="D79" s="168"/>
      <c r="E79" s="168"/>
      <c r="F79" s="168"/>
      <c r="G79" s="168"/>
      <c r="H79" s="168"/>
      <c r="I79" s="168"/>
      <c r="J79" s="191"/>
      <c r="K79" s="183"/>
      <c r="M79" s="184">
        <f>IF(D36=0,0,(Data!G168/Data!H168))</f>
        <v>268</v>
      </c>
      <c r="N79" s="248">
        <f>IF(H5=0,0,(M79/H5*100))</f>
        <v>0</v>
      </c>
      <c r="O79" s="248">
        <f>IF(H6=0,0,(M79/H6*100))</f>
        <v>0</v>
      </c>
      <c r="P79" s="248">
        <f>IF(H7=0,0,(M79/H7*100))</f>
        <v>0</v>
      </c>
      <c r="R79" s="913"/>
      <c r="V79" s="206"/>
      <c r="AB79" s="200"/>
      <c r="AC79" s="249"/>
      <c r="AD79" s="249"/>
      <c r="AE79" s="191"/>
      <c r="AF79" s="313" t="s">
        <v>436</v>
      </c>
      <c r="AG79" s="314" t="e">
        <f>IF($D$15=0,0,((Z76+Z77)/100))</f>
        <v>#DIV/0!</v>
      </c>
      <c r="AH79" s="314" t="e">
        <f>IF($D$26=0,0,(AB76+AB77)/100)</f>
        <v>#DIV/0!</v>
      </c>
      <c r="AI79" s="322"/>
      <c r="AM79" s="206"/>
      <c r="AS79" s="200"/>
      <c r="AT79" s="249"/>
      <c r="AU79" s="249"/>
      <c r="AV79" s="191"/>
      <c r="AW79" s="313" t="s">
        <v>436</v>
      </c>
      <c r="AX79" s="314" t="e">
        <f>IF($D$15=0,0,((AQ76+AQ77)/100))</f>
        <v>#DIV/0!</v>
      </c>
      <c r="AY79" s="314" t="e">
        <f>IF($D$26=0,0,(AS76+AS77)/100)</f>
        <v>#DIV/0!</v>
      </c>
      <c r="AZ79" s="322"/>
      <c r="BC79" s="206"/>
      <c r="BI79" s="200"/>
      <c r="BJ79" s="249"/>
      <c r="BK79" s="249"/>
      <c r="BL79" s="191"/>
      <c r="BM79" s="313" t="s">
        <v>436</v>
      </c>
      <c r="BN79" s="314" t="e">
        <f>IF($D$15=0,0,((BG76+BG77)/100))</f>
        <v>#DIV/0!</v>
      </c>
      <c r="BO79" s="314" t="e">
        <f>IF($D$26=0,0,(BI76+BI77)/100)</f>
        <v>#DIV/0!</v>
      </c>
      <c r="BP79" s="322"/>
      <c r="BS79" s="206"/>
      <c r="BY79" s="200"/>
      <c r="BZ79" s="249"/>
      <c r="CA79" s="249"/>
      <c r="CB79" s="191"/>
      <c r="CC79" s="313" t="s">
        <v>436</v>
      </c>
      <c r="CD79" s="314" t="e">
        <f>IF($D$15=0,0,((BW76+BW77)/100))</f>
        <v>#DIV/0!</v>
      </c>
      <c r="CE79" s="314" t="e">
        <f>IF($D$26=0,0,(BY76+BY77)/100)</f>
        <v>#DIV/0!</v>
      </c>
      <c r="CF79" s="322"/>
      <c r="CI79" s="206"/>
      <c r="CO79" s="200"/>
      <c r="CP79" s="249"/>
      <c r="CQ79" s="249"/>
      <c r="CR79" s="191"/>
      <c r="CS79" s="313" t="s">
        <v>436</v>
      </c>
      <c r="CT79" s="314" t="e">
        <f>IF($D$15=0,0,((CM76+CM77)/100))</f>
        <v>#DIV/0!</v>
      </c>
      <c r="CU79" s="314" t="e">
        <f>IF($D$26=0,0,(CO76+CO77)/100)</f>
        <v>#DIV/0!</v>
      </c>
      <c r="CV79" s="322"/>
      <c r="CY79" s="206"/>
      <c r="DE79" s="200"/>
      <c r="DF79" s="249"/>
      <c r="DG79" s="249"/>
      <c r="DH79" s="191"/>
      <c r="DI79" s="313" t="s">
        <v>436</v>
      </c>
      <c r="DJ79" s="314" t="e">
        <f>IF($D$15=0,0,((DC76+DC77)/100))</f>
        <v>#DIV/0!</v>
      </c>
      <c r="DK79" s="314" t="e">
        <f>IF($D$26=0,0,(DE76+DE77)/100)</f>
        <v>#DIV/0!</v>
      </c>
      <c r="DL79" s="322"/>
      <c r="DO79" s="206"/>
      <c r="DU79" s="200"/>
      <c r="DV79" s="249"/>
      <c r="DW79" s="249"/>
      <c r="DX79" s="191"/>
      <c r="DY79" s="313" t="s">
        <v>436</v>
      </c>
      <c r="DZ79" s="314" t="e">
        <f>IF($D$15=0,0,((DS76+DS77)/100))</f>
        <v>#DIV/0!</v>
      </c>
      <c r="EA79" s="314" t="e">
        <f>IF($D$26=0,0,(DU76+DU77)/100)</f>
        <v>#DIV/0!</v>
      </c>
      <c r="EB79" s="322"/>
      <c r="EE79" s="206"/>
      <c r="EK79" s="200"/>
      <c r="EL79" s="249"/>
      <c r="EM79" s="249"/>
      <c r="EN79" s="191"/>
      <c r="EO79" s="313" t="s">
        <v>436</v>
      </c>
      <c r="EP79" s="314" t="e">
        <f>IF($D$15=0,0,((EI76+EI77)/100))</f>
        <v>#DIV/0!</v>
      </c>
      <c r="EQ79" s="314" t="e">
        <f>IF($D$26=0,0,(EK76+EK77)/100)</f>
        <v>#DIV/0!</v>
      </c>
      <c r="ER79" s="322"/>
      <c r="EU79" s="206"/>
      <c r="FA79" s="200"/>
      <c r="FB79" s="249"/>
      <c r="FC79" s="249"/>
      <c r="FD79" s="191"/>
      <c r="FE79" s="313" t="s">
        <v>436</v>
      </c>
      <c r="FF79" s="314" t="e">
        <f>IF($D$15=0,0,((EY76+EY77)/100))</f>
        <v>#DIV/0!</v>
      </c>
      <c r="FG79" s="314" t="e">
        <f>IF($D$26=0,0,(FA76+FA77)/100)</f>
        <v>#DIV/0!</v>
      </c>
      <c r="FH79" s="322"/>
      <c r="FK79" s="206"/>
      <c r="FQ79" s="200"/>
      <c r="FR79" s="249"/>
      <c r="FS79" s="249"/>
      <c r="FT79" s="191"/>
      <c r="FU79" s="313" t="s">
        <v>436</v>
      </c>
      <c r="FV79" s="314" t="e">
        <f>IF($D$15=0,0,((FO76+FO77)/100))</f>
        <v>#DIV/0!</v>
      </c>
      <c r="FW79" s="314" t="e">
        <f>IF($D$26=0,0,(FQ76+FQ77)/100)</f>
        <v>#DIV/0!</v>
      </c>
      <c r="FX79" s="322"/>
      <c r="GA79" s="206"/>
      <c r="GG79" s="200"/>
      <c r="GH79" s="249"/>
      <c r="GI79" s="249"/>
      <c r="GJ79" s="191"/>
      <c r="GK79" s="313" t="s">
        <v>436</v>
      </c>
      <c r="GL79" s="314" t="e">
        <f>IF($D$15=0,0,((GE76+GE77)/100))</f>
        <v>#DIV/0!</v>
      </c>
      <c r="GM79" s="314" t="e">
        <f>IF($D$26=0,0,(GG76+GG77)/100)</f>
        <v>#DIV/0!</v>
      </c>
      <c r="GN79" s="322"/>
      <c r="GQ79" s="206"/>
      <c r="GW79" s="200"/>
      <c r="GX79" s="249"/>
      <c r="GY79" s="249"/>
      <c r="GZ79" s="191"/>
      <c r="HA79" s="313" t="s">
        <v>436</v>
      </c>
      <c r="HB79" s="314" t="e">
        <f>IF($D$15=0,0,((GU76+GU77)/100))</f>
        <v>#DIV/0!</v>
      </c>
      <c r="HC79" s="314" t="e">
        <f>IF($D$26=0,0,(GW76+GW77)/100)</f>
        <v>#DIV/0!</v>
      </c>
      <c r="HD79" s="322"/>
      <c r="HF79" s="172"/>
      <c r="HG79" s="172"/>
      <c r="HH79" s="172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272" customFormat="1" ht="12.75" x14ac:dyDescent="0.2">
      <c r="A80" s="869"/>
      <c r="B80" s="202" t="s">
        <v>432</v>
      </c>
      <c r="C80" s="162"/>
      <c r="D80" s="168"/>
      <c r="E80" s="168"/>
      <c r="F80" s="168"/>
      <c r="G80" s="168"/>
      <c r="H80" s="168"/>
      <c r="I80" s="168"/>
      <c r="J80" s="191"/>
      <c r="K80" s="183"/>
      <c r="L80" s="163"/>
      <c r="M80" s="184">
        <f>IF(Data!E21=0,0,(Data!E169*Data!F169)/Data!E21)/15</f>
        <v>8.3333333333333339</v>
      </c>
      <c r="N80" s="248">
        <f>IF(H5=0,0,(M80/H5*100))</f>
        <v>0</v>
      </c>
      <c r="O80" s="248">
        <f>IF(H6=0,0,(M80/H6*100))</f>
        <v>0</v>
      </c>
      <c r="P80" s="248">
        <f>IF(H7=0,0,(M80/H7*100))</f>
        <v>0</v>
      </c>
      <c r="Q80" s="912"/>
      <c r="R80" s="913"/>
      <c r="S80" s="167"/>
      <c r="T80" s="168"/>
      <c r="U80" s="168"/>
      <c r="V80" s="271"/>
      <c r="AD80" s="273"/>
      <c r="AE80" s="274"/>
      <c r="AF80" s="323" t="s">
        <v>61</v>
      </c>
      <c r="AG80" s="324" t="e">
        <f>SUM(AG79*AB5)</f>
        <v>#DIV/0!</v>
      </c>
      <c r="AH80" s="325" t="e">
        <f>SUM(AH79*AB6)</f>
        <v>#DIV/0!</v>
      </c>
      <c r="AI80" s="326"/>
      <c r="AJ80" s="168"/>
      <c r="AK80" s="168"/>
      <c r="AL80" s="169"/>
      <c r="AM80" s="271"/>
      <c r="AU80" s="273"/>
      <c r="AV80" s="274"/>
      <c r="AW80" s="323" t="s">
        <v>61</v>
      </c>
      <c r="AX80" s="324" t="e">
        <f>SUM(AX79*AS5)</f>
        <v>#DIV/0!</v>
      </c>
      <c r="AY80" s="325" t="e">
        <f>SUM(AY79*AS6)</f>
        <v>#DIV/0!</v>
      </c>
      <c r="AZ80" s="326"/>
      <c r="BA80" s="168"/>
      <c r="BB80" s="168"/>
      <c r="BC80" s="271"/>
      <c r="BK80" s="273"/>
      <c r="BL80" s="274"/>
      <c r="BM80" s="323" t="s">
        <v>61</v>
      </c>
      <c r="BN80" s="324" t="e">
        <f>SUM(BN79*BI5)</f>
        <v>#DIV/0!</v>
      </c>
      <c r="BO80" s="325" t="e">
        <f>SUM(BO79*BI6)</f>
        <v>#DIV/0!</v>
      </c>
      <c r="BP80" s="326"/>
      <c r="BQ80" s="168"/>
      <c r="BR80" s="168"/>
      <c r="BS80" s="271"/>
      <c r="CA80" s="273"/>
      <c r="CB80" s="274"/>
      <c r="CC80" s="323" t="s">
        <v>61</v>
      </c>
      <c r="CD80" s="324" t="e">
        <f>SUM(CD79*BY5)</f>
        <v>#DIV/0!</v>
      </c>
      <c r="CE80" s="325" t="e">
        <f>SUM(CE79*BY6)</f>
        <v>#DIV/0!</v>
      </c>
      <c r="CF80" s="326"/>
      <c r="CG80" s="168"/>
      <c r="CH80" s="168"/>
      <c r="CI80" s="271"/>
      <c r="CQ80" s="273"/>
      <c r="CR80" s="274"/>
      <c r="CS80" s="323" t="s">
        <v>61</v>
      </c>
      <c r="CT80" s="324" t="e">
        <f>SUM(CT79*CO5)</f>
        <v>#DIV/0!</v>
      </c>
      <c r="CU80" s="325" t="e">
        <f>SUM(CU79*CO6)</f>
        <v>#DIV/0!</v>
      </c>
      <c r="CV80" s="326"/>
      <c r="CW80" s="168"/>
      <c r="CX80" s="168"/>
      <c r="CY80" s="271"/>
      <c r="DG80" s="273"/>
      <c r="DH80" s="274"/>
      <c r="DI80" s="323" t="s">
        <v>61</v>
      </c>
      <c r="DJ80" s="324" t="e">
        <f>SUM(DJ79*DE5)</f>
        <v>#DIV/0!</v>
      </c>
      <c r="DK80" s="325" t="e">
        <f>SUM(DK79*DE6)</f>
        <v>#DIV/0!</v>
      </c>
      <c r="DL80" s="326"/>
      <c r="DM80" s="168"/>
      <c r="DN80" s="168"/>
      <c r="DO80" s="271"/>
      <c r="DW80" s="273"/>
      <c r="DX80" s="274"/>
      <c r="DY80" s="323" t="s">
        <v>61</v>
      </c>
      <c r="DZ80" s="324" t="e">
        <f>SUM(DZ79*DU5)</f>
        <v>#DIV/0!</v>
      </c>
      <c r="EA80" s="325" t="e">
        <f>SUM(EA79*DU6)</f>
        <v>#DIV/0!</v>
      </c>
      <c r="EB80" s="326"/>
      <c r="EC80" s="168"/>
      <c r="ED80" s="168"/>
      <c r="EE80" s="271"/>
      <c r="EM80" s="273"/>
      <c r="EN80" s="274"/>
      <c r="EO80" s="323" t="s">
        <v>61</v>
      </c>
      <c r="EP80" s="324" t="e">
        <f>SUM(EP79*EK5)</f>
        <v>#DIV/0!</v>
      </c>
      <c r="EQ80" s="325" t="e">
        <f>SUM(EQ79*EK6)</f>
        <v>#DIV/0!</v>
      </c>
      <c r="ER80" s="326"/>
      <c r="ES80" s="168"/>
      <c r="ET80" s="168"/>
      <c r="EU80" s="271"/>
      <c r="FC80" s="273"/>
      <c r="FD80" s="274"/>
      <c r="FE80" s="323" t="s">
        <v>61</v>
      </c>
      <c r="FF80" s="324" t="e">
        <f>SUM(FF79*FA5)</f>
        <v>#DIV/0!</v>
      </c>
      <c r="FG80" s="325" t="e">
        <f>SUM(FG79*FA6)</f>
        <v>#DIV/0!</v>
      </c>
      <c r="FH80" s="326"/>
      <c r="FI80" s="168"/>
      <c r="FJ80" s="168"/>
      <c r="FK80" s="271"/>
      <c r="FS80" s="273"/>
      <c r="FT80" s="274"/>
      <c r="FU80" s="323" t="s">
        <v>61</v>
      </c>
      <c r="FV80" s="324" t="e">
        <f>SUM(FV79*FQ5)</f>
        <v>#DIV/0!</v>
      </c>
      <c r="FW80" s="325" t="e">
        <f>SUM(FW79*FQ6)</f>
        <v>#DIV/0!</v>
      </c>
      <c r="FX80" s="326"/>
      <c r="FY80" s="168"/>
      <c r="FZ80" s="168"/>
      <c r="GA80" s="271"/>
      <c r="GI80" s="273"/>
      <c r="GJ80" s="274"/>
      <c r="GK80" s="323" t="s">
        <v>61</v>
      </c>
      <c r="GL80" s="324" t="e">
        <f>SUM(GL79*GG5)</f>
        <v>#DIV/0!</v>
      </c>
      <c r="GM80" s="325" t="e">
        <f>SUM(GM79*GG6)</f>
        <v>#DIV/0!</v>
      </c>
      <c r="GN80" s="326"/>
      <c r="GO80" s="168"/>
      <c r="GP80" s="168"/>
      <c r="GQ80" s="271"/>
      <c r="GY80" s="273"/>
      <c r="GZ80" s="274"/>
      <c r="HA80" s="323" t="s">
        <v>61</v>
      </c>
      <c r="HB80" s="324" t="e">
        <f>SUM(HB79*GW5)</f>
        <v>#DIV/0!</v>
      </c>
      <c r="HC80" s="325" t="e">
        <f>SUM(HC79*GW6)</f>
        <v>#DIV/0!</v>
      </c>
      <c r="HD80" s="326"/>
      <c r="HE80" s="168"/>
      <c r="HF80" s="172"/>
      <c r="HG80" s="172"/>
      <c r="HH80" s="172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272" customFormat="1" ht="12.75" x14ac:dyDescent="0.2">
      <c r="A81" s="869"/>
      <c r="B81" s="202" t="s">
        <v>176</v>
      </c>
      <c r="C81" s="162"/>
      <c r="D81" s="168"/>
      <c r="E81" s="168"/>
      <c r="F81" s="250"/>
      <c r="G81" s="168"/>
      <c r="H81" s="168"/>
      <c r="I81" s="168"/>
      <c r="J81" s="191"/>
      <c r="K81" s="183"/>
      <c r="L81" s="163"/>
      <c r="M81" s="184">
        <f>IF(Data!E21=0,0,(Data!E170*F9)/Data!E21)</f>
        <v>0</v>
      </c>
      <c r="N81" s="248">
        <f>IF(F5=0,0,(Data!E170/10))</f>
        <v>0</v>
      </c>
      <c r="O81" s="248">
        <f>IF(F6=0,0,(Data!E170/10))</f>
        <v>0</v>
      </c>
      <c r="P81" s="248">
        <f>IF(F7=0,0,(Data!E170/10))</f>
        <v>0</v>
      </c>
      <c r="Q81" s="912"/>
      <c r="R81" s="913"/>
      <c r="S81" s="167"/>
      <c r="T81" s="168"/>
      <c r="U81" s="168"/>
      <c r="V81" s="271"/>
      <c r="AD81" s="273"/>
      <c r="AE81" s="274"/>
      <c r="AF81" s="323"/>
      <c r="AG81" s="319" t="e">
        <f>IF(AG80=0,0,(AD85-AG80))</f>
        <v>#DIV/0!</v>
      </c>
      <c r="AH81" s="320" t="e">
        <f>IF(AH80=0,0,(AD87-AH80))</f>
        <v>#DIV/0!</v>
      </c>
      <c r="AI81" s="326"/>
      <c r="AJ81" s="168"/>
      <c r="AK81" s="168"/>
      <c r="AL81" s="169"/>
      <c r="AM81" s="271"/>
      <c r="AU81" s="273"/>
      <c r="AV81" s="274"/>
      <c r="AW81" s="323"/>
      <c r="AX81" s="319" t="e">
        <f>IF(AX80=0,0,(AU85-AX80))</f>
        <v>#DIV/0!</v>
      </c>
      <c r="AY81" s="320" t="e">
        <f>IF(AY80=0,0,(AU87-AY80))</f>
        <v>#DIV/0!</v>
      </c>
      <c r="AZ81" s="326"/>
      <c r="BA81" s="168"/>
      <c r="BB81" s="168"/>
      <c r="BC81" s="271"/>
      <c r="BK81" s="273"/>
      <c r="BL81" s="274"/>
      <c r="BM81" s="323"/>
      <c r="BN81" s="319" t="e">
        <f>IF(BN80=0,0,(BK85-BN80))</f>
        <v>#DIV/0!</v>
      </c>
      <c r="BO81" s="320" t="e">
        <f>IF(BO80=0,0,(BK87-BO80))</f>
        <v>#DIV/0!</v>
      </c>
      <c r="BP81" s="326"/>
      <c r="BQ81" s="168"/>
      <c r="BR81" s="168"/>
      <c r="BS81" s="271"/>
      <c r="CA81" s="273"/>
      <c r="CB81" s="274"/>
      <c r="CC81" s="323"/>
      <c r="CD81" s="319" t="e">
        <f>IF(CD80=0,0,(CA85-CD80))</f>
        <v>#DIV/0!</v>
      </c>
      <c r="CE81" s="320" t="e">
        <f>IF(CE80=0,0,(CA87-CE80))</f>
        <v>#DIV/0!</v>
      </c>
      <c r="CF81" s="326"/>
      <c r="CG81" s="168"/>
      <c r="CH81" s="168"/>
      <c r="CI81" s="271"/>
      <c r="CQ81" s="273"/>
      <c r="CR81" s="274"/>
      <c r="CS81" s="323"/>
      <c r="CT81" s="319" t="e">
        <f>IF(CT80=0,0,(CQ85-CT80))</f>
        <v>#DIV/0!</v>
      </c>
      <c r="CU81" s="320" t="e">
        <f>IF(CU80=0,0,(CQ87-CU80))</f>
        <v>#DIV/0!</v>
      </c>
      <c r="CV81" s="326"/>
      <c r="CW81" s="168"/>
      <c r="CX81" s="168"/>
      <c r="CY81" s="271"/>
      <c r="DG81" s="273"/>
      <c r="DH81" s="274"/>
      <c r="DI81" s="323"/>
      <c r="DJ81" s="319" t="e">
        <f>IF(DJ80=0,0,(DG85-DJ80))</f>
        <v>#DIV/0!</v>
      </c>
      <c r="DK81" s="320" t="e">
        <f>IF(DK80=0,0,(DG87-DK80))</f>
        <v>#DIV/0!</v>
      </c>
      <c r="DL81" s="326"/>
      <c r="DM81" s="168"/>
      <c r="DN81" s="168"/>
      <c r="DO81" s="271"/>
      <c r="DW81" s="273"/>
      <c r="DX81" s="274"/>
      <c r="DY81" s="323"/>
      <c r="DZ81" s="319" t="e">
        <f>IF(DZ80=0,0,(DW85-DZ80))</f>
        <v>#DIV/0!</v>
      </c>
      <c r="EA81" s="320" t="e">
        <f>IF(EA80=0,0,(DW87-EA80))</f>
        <v>#DIV/0!</v>
      </c>
      <c r="EB81" s="326"/>
      <c r="EC81" s="168"/>
      <c r="ED81" s="168"/>
      <c r="EE81" s="271"/>
      <c r="EM81" s="273"/>
      <c r="EN81" s="274"/>
      <c r="EO81" s="323"/>
      <c r="EP81" s="319" t="e">
        <f>IF(EP80=0,0,(EM85-EP80))</f>
        <v>#DIV/0!</v>
      </c>
      <c r="EQ81" s="320" t="e">
        <f>IF(EQ80=0,0,(EM87-EQ80))</f>
        <v>#DIV/0!</v>
      </c>
      <c r="ER81" s="326"/>
      <c r="ES81" s="168"/>
      <c r="ET81" s="168"/>
      <c r="EU81" s="271"/>
      <c r="FC81" s="273"/>
      <c r="FD81" s="274"/>
      <c r="FE81" s="323"/>
      <c r="FF81" s="319" t="e">
        <f>IF(FF80=0,0,(FC85-FF80))</f>
        <v>#DIV/0!</v>
      </c>
      <c r="FG81" s="320" t="e">
        <f>IF(FG80=0,0,(FC87-FG80))</f>
        <v>#DIV/0!</v>
      </c>
      <c r="FH81" s="326"/>
      <c r="FI81" s="168"/>
      <c r="FJ81" s="168"/>
      <c r="FK81" s="271"/>
      <c r="FS81" s="273"/>
      <c r="FT81" s="274"/>
      <c r="FU81" s="323"/>
      <c r="FV81" s="319" t="e">
        <f>IF(FV80=0,0,(FS85-FV80))</f>
        <v>#DIV/0!</v>
      </c>
      <c r="FW81" s="320" t="e">
        <f>IF(FW80=0,0,(FS87-FW80))</f>
        <v>#DIV/0!</v>
      </c>
      <c r="FX81" s="326"/>
      <c r="FY81" s="168"/>
      <c r="FZ81" s="168"/>
      <c r="GA81" s="271"/>
      <c r="GI81" s="273"/>
      <c r="GJ81" s="274"/>
      <c r="GK81" s="323"/>
      <c r="GL81" s="319" t="e">
        <f>IF(GL80=0,0,(GI85-GL80))</f>
        <v>#DIV/0!</v>
      </c>
      <c r="GM81" s="320" t="e">
        <f>IF(GM80=0,0,(GI87-GM80))</f>
        <v>#DIV/0!</v>
      </c>
      <c r="GN81" s="326"/>
      <c r="GO81" s="168"/>
      <c r="GP81" s="168"/>
      <c r="GQ81" s="271"/>
      <c r="GY81" s="273"/>
      <c r="GZ81" s="274"/>
      <c r="HA81" s="323"/>
      <c r="HB81" s="319" t="e">
        <f>IF(HB80=0,0,(GY85-HB80))</f>
        <v>#DIV/0!</v>
      </c>
      <c r="HC81" s="320" t="e">
        <f>IF(HC80=0,0,(GY87-HC80))</f>
        <v>#DIV/0!</v>
      </c>
      <c r="HD81" s="326"/>
      <c r="HE81" s="168"/>
      <c r="HF81" s="172"/>
      <c r="HG81" s="172"/>
      <c r="HH81" s="172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28" customFormat="1" ht="11.85" customHeight="1" x14ac:dyDescent="0.2">
      <c r="A82" s="869"/>
      <c r="B82" s="257" t="s">
        <v>433</v>
      </c>
      <c r="C82" s="258"/>
      <c r="D82" s="307"/>
      <c r="E82" s="272"/>
      <c r="F82" s="307"/>
      <c r="G82" s="272"/>
      <c r="H82" s="272"/>
      <c r="I82" s="272"/>
      <c r="J82" s="274"/>
      <c r="K82" s="259"/>
      <c r="L82" s="251"/>
      <c r="M82" s="327">
        <f>SUM(M77:M81)</f>
        <v>361.83333333333331</v>
      </c>
      <c r="N82" s="292">
        <f>IF(H5=0,0,(M77+M78+M79+M80+M81)/H5*100)</f>
        <v>0</v>
      </c>
      <c r="O82" s="292">
        <f>IF(H6=0,0,(M77+M78+M79+M80+M81)/H6*100)</f>
        <v>0</v>
      </c>
      <c r="P82" s="292">
        <f>IF(H7=0,0,(M77+M78+M79+M80+M81)/H7*100)</f>
        <v>0</v>
      </c>
      <c r="Q82" s="912"/>
      <c r="R82" s="913"/>
      <c r="S82" s="167"/>
      <c r="T82" s="168"/>
      <c r="U82" s="168"/>
      <c r="V82" s="916" t="s">
        <v>437</v>
      </c>
      <c r="W82" s="916"/>
      <c r="X82" s="916"/>
      <c r="Y82" s="916"/>
      <c r="Z82" s="916"/>
      <c r="AA82" s="916"/>
      <c r="AB82" s="916"/>
      <c r="AC82" s="916"/>
      <c r="AD82" s="916"/>
      <c r="AE82" s="916"/>
      <c r="AF82" s="916"/>
      <c r="AG82" s="916"/>
      <c r="AH82" s="916"/>
      <c r="AI82" s="916"/>
      <c r="AJ82" s="168"/>
      <c r="AK82" s="168"/>
      <c r="AL82" s="16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49"/>
      <c r="AY82" s="249"/>
      <c r="AZ82" s="249"/>
      <c r="BA82" s="168"/>
      <c r="BB82" s="168"/>
      <c r="BC82" s="916" t="s">
        <v>437</v>
      </c>
      <c r="BD82" s="916"/>
      <c r="BE82" s="916"/>
      <c r="BF82" s="916"/>
      <c r="BG82" s="916"/>
      <c r="BH82" s="916"/>
      <c r="BI82" s="916"/>
      <c r="BJ82" s="916"/>
      <c r="BK82" s="916"/>
      <c r="BL82" s="916"/>
      <c r="BM82" s="916"/>
      <c r="BN82" s="916"/>
      <c r="BO82" s="916"/>
      <c r="BP82" s="916"/>
      <c r="BQ82" s="168"/>
      <c r="BR82" s="168"/>
      <c r="BS82" s="916" t="s">
        <v>437</v>
      </c>
      <c r="BT82" s="916"/>
      <c r="BU82" s="916"/>
      <c r="BV82" s="916"/>
      <c r="BW82" s="916"/>
      <c r="BX82" s="916"/>
      <c r="BY82" s="916"/>
      <c r="BZ82" s="916"/>
      <c r="CA82" s="916"/>
      <c r="CB82" s="916"/>
      <c r="CC82" s="916"/>
      <c r="CD82" s="916"/>
      <c r="CE82" s="916"/>
      <c r="CF82" s="916"/>
      <c r="CG82" s="168"/>
      <c r="CH82" s="168"/>
      <c r="CI82" s="916" t="s">
        <v>437</v>
      </c>
      <c r="CJ82" s="916"/>
      <c r="CK82" s="916"/>
      <c r="CL82" s="916"/>
      <c r="CM82" s="916"/>
      <c r="CN82" s="916"/>
      <c r="CO82" s="916"/>
      <c r="CP82" s="916"/>
      <c r="CQ82" s="916"/>
      <c r="CR82" s="916"/>
      <c r="CS82" s="916"/>
      <c r="CT82" s="916"/>
      <c r="CU82" s="916"/>
      <c r="CV82" s="916"/>
      <c r="CW82" s="168"/>
      <c r="CX82" s="168"/>
      <c r="CY82" s="916" t="s">
        <v>437</v>
      </c>
      <c r="CZ82" s="916"/>
      <c r="DA82" s="916"/>
      <c r="DB82" s="916"/>
      <c r="DC82" s="916"/>
      <c r="DD82" s="916"/>
      <c r="DE82" s="916"/>
      <c r="DF82" s="916"/>
      <c r="DG82" s="916"/>
      <c r="DH82" s="916"/>
      <c r="DI82" s="916"/>
      <c r="DJ82" s="916"/>
      <c r="DK82" s="916"/>
      <c r="DL82" s="916"/>
      <c r="DM82" s="168"/>
      <c r="DN82" s="168"/>
      <c r="DO82" s="916" t="s">
        <v>437</v>
      </c>
      <c r="DP82" s="916"/>
      <c r="DQ82" s="916"/>
      <c r="DR82" s="916"/>
      <c r="DS82" s="916"/>
      <c r="DT82" s="916"/>
      <c r="DU82" s="916"/>
      <c r="DV82" s="916"/>
      <c r="DW82" s="916"/>
      <c r="DX82" s="916"/>
      <c r="DY82" s="916"/>
      <c r="DZ82" s="916"/>
      <c r="EA82" s="916"/>
      <c r="EB82" s="916"/>
      <c r="EC82" s="168"/>
      <c r="ED82" s="168"/>
      <c r="EE82" s="916" t="s">
        <v>437</v>
      </c>
      <c r="EF82" s="916"/>
      <c r="EG82" s="916"/>
      <c r="EH82" s="916"/>
      <c r="EI82" s="916"/>
      <c r="EJ82" s="916"/>
      <c r="EK82" s="916"/>
      <c r="EL82" s="916"/>
      <c r="EM82" s="916"/>
      <c r="EN82" s="916"/>
      <c r="EO82" s="916"/>
      <c r="EP82" s="916"/>
      <c r="EQ82" s="916"/>
      <c r="ER82" s="916"/>
      <c r="ES82" s="168"/>
      <c r="ET82" s="168"/>
      <c r="EU82" s="916" t="s">
        <v>437</v>
      </c>
      <c r="EV82" s="916"/>
      <c r="EW82" s="916"/>
      <c r="EX82" s="916"/>
      <c r="EY82" s="916"/>
      <c r="EZ82" s="916"/>
      <c r="FA82" s="916"/>
      <c r="FB82" s="916"/>
      <c r="FC82" s="916"/>
      <c r="FD82" s="916"/>
      <c r="FE82" s="916"/>
      <c r="FF82" s="916"/>
      <c r="FG82" s="916"/>
      <c r="FH82" s="916"/>
      <c r="FI82" s="168"/>
      <c r="FJ82" s="168"/>
      <c r="FK82" s="916" t="s">
        <v>437</v>
      </c>
      <c r="FL82" s="916"/>
      <c r="FM82" s="916"/>
      <c r="FN82" s="916"/>
      <c r="FO82" s="916"/>
      <c r="FP82" s="916"/>
      <c r="FQ82" s="916"/>
      <c r="FR82" s="916"/>
      <c r="FS82" s="916"/>
      <c r="FT82" s="916"/>
      <c r="FU82" s="916"/>
      <c r="FV82" s="916"/>
      <c r="FW82" s="916"/>
      <c r="FX82" s="916"/>
      <c r="FY82" s="168"/>
      <c r="FZ82" s="168"/>
      <c r="GA82" s="916" t="s">
        <v>437</v>
      </c>
      <c r="GB82" s="916"/>
      <c r="GC82" s="916"/>
      <c r="GD82" s="916"/>
      <c r="GE82" s="916"/>
      <c r="GF82" s="916"/>
      <c r="GG82" s="916"/>
      <c r="GH82" s="916"/>
      <c r="GI82" s="916"/>
      <c r="GJ82" s="916"/>
      <c r="GK82" s="916"/>
      <c r="GL82" s="916"/>
      <c r="GM82" s="916"/>
      <c r="GN82" s="916"/>
      <c r="GO82" s="168"/>
      <c r="GP82" s="168"/>
      <c r="GQ82" s="916" t="s">
        <v>437</v>
      </c>
      <c r="GR82" s="916"/>
      <c r="GS82" s="916"/>
      <c r="GT82" s="916"/>
      <c r="GU82" s="916"/>
      <c r="GV82" s="916"/>
      <c r="GW82" s="916"/>
      <c r="GX82" s="916"/>
      <c r="GY82" s="916"/>
      <c r="GZ82" s="916"/>
      <c r="HA82" s="916"/>
      <c r="HB82" s="916"/>
      <c r="HC82" s="916"/>
      <c r="HD82" s="916"/>
      <c r="HE82" s="168"/>
      <c r="HF82" s="172"/>
      <c r="HG82" s="172"/>
      <c r="HH82" s="17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32" customFormat="1" ht="12.75" x14ac:dyDescent="0.2">
      <c r="A83" s="869"/>
      <c r="B83" s="178"/>
      <c r="C83" s="179"/>
      <c r="D83" s="187"/>
      <c r="E83" s="187"/>
      <c r="F83" s="187" t="e">
        <f>SUM(N38:N81)</f>
        <v>#DIV/0!</v>
      </c>
      <c r="G83" s="187"/>
      <c r="H83" s="308" t="e">
        <f>SUM(O38:O81)</f>
        <v>#DIV/0!</v>
      </c>
      <c r="I83" s="249"/>
      <c r="J83" s="249"/>
      <c r="K83" s="329"/>
      <c r="L83" s="174"/>
      <c r="M83" s="330"/>
      <c r="N83" s="331" t="s">
        <v>24</v>
      </c>
      <c r="O83" s="331" t="s">
        <v>51</v>
      </c>
      <c r="P83" s="331" t="s">
        <v>387</v>
      </c>
      <c r="Q83" s="912"/>
      <c r="R83" s="913"/>
      <c r="S83" s="167"/>
      <c r="T83" s="168"/>
      <c r="U83" s="168"/>
      <c r="AJ83" s="168"/>
      <c r="AK83" s="168"/>
      <c r="AL83" s="169"/>
      <c r="BA83" s="168"/>
      <c r="BB83" s="168"/>
      <c r="BQ83" s="168"/>
      <c r="BR83" s="168"/>
      <c r="CG83" s="168"/>
      <c r="CH83" s="168"/>
      <c r="CW83" s="168"/>
      <c r="CX83" s="168"/>
      <c r="DM83" s="168"/>
      <c r="DN83" s="168"/>
      <c r="EC83" s="168"/>
      <c r="ED83" s="168"/>
      <c r="ES83" s="168"/>
      <c r="ET83" s="168"/>
      <c r="FI83" s="168"/>
      <c r="FJ83" s="168"/>
      <c r="FY83" s="168"/>
      <c r="FZ83" s="168"/>
      <c r="GO83" s="168"/>
      <c r="GP83" s="168"/>
      <c r="HE83" s="168"/>
      <c r="HF83" s="172"/>
      <c r="HG83" s="172"/>
      <c r="HH83" s="172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168" customFormat="1" ht="12.75" x14ac:dyDescent="0.2">
      <c r="A84" s="869"/>
      <c r="B84" s="202"/>
      <c r="C84" s="162"/>
      <c r="F84" s="168">
        <f>IF(D13=0,0,(N13+N14+N17+N18+N19+N21))</f>
        <v>0</v>
      </c>
      <c r="H84" s="191">
        <f>IF(D24=0,0,(O24+O25+O28+O29+O31))</f>
        <v>0</v>
      </c>
      <c r="I84" s="249"/>
      <c r="J84" s="249"/>
      <c r="K84" s="183"/>
      <c r="L84" s="163"/>
      <c r="M84" s="333"/>
      <c r="N84" s="334" t="s">
        <v>434</v>
      </c>
      <c r="O84" s="334" t="s">
        <v>434</v>
      </c>
      <c r="P84" s="334" t="s">
        <v>434</v>
      </c>
      <c r="Q84" s="912"/>
      <c r="R84" s="913"/>
      <c r="S84" s="167"/>
      <c r="X84" s="332"/>
      <c r="Y84" s="332"/>
      <c r="Z84" s="332"/>
      <c r="AA84" s="332"/>
      <c r="AB84" s="332"/>
      <c r="AC84" s="332"/>
      <c r="AD84" s="332"/>
      <c r="AE84" s="332"/>
      <c r="AF84" s="332"/>
      <c r="AG84" s="332"/>
      <c r="AH84" s="332"/>
      <c r="AI84" s="332"/>
      <c r="AL84" s="169"/>
      <c r="HF84" s="172"/>
      <c r="HG84" s="172"/>
      <c r="HH84" s="172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168" customFormat="1" ht="12.75" x14ac:dyDescent="0.2">
      <c r="A85" s="869"/>
      <c r="B85" s="202"/>
      <c r="C85" s="162"/>
      <c r="F85" s="168" t="e">
        <f>SUM(N38:N81)</f>
        <v>#DIV/0!</v>
      </c>
      <c r="H85" s="200" t="e">
        <f>SUM(O38:O81)</f>
        <v>#DIV/0!</v>
      </c>
      <c r="I85" s="249"/>
      <c r="J85" s="249"/>
      <c r="K85" s="183"/>
      <c r="L85" s="163"/>
      <c r="M85" s="335" t="s">
        <v>435</v>
      </c>
      <c r="N85" s="336" t="e">
        <f>IF(D13=0,0,((F83+F84)/100))</f>
        <v>#DIV/0!</v>
      </c>
      <c r="O85" s="336" t="e">
        <f>IF(Data!E15=0,0,(H83+H84)/100)</f>
        <v>#DIV/0!</v>
      </c>
      <c r="P85" s="336">
        <f>IF(Data!E20=0,0,(P39+P40+P51+P59+P60+P61+P63+P64+P65+P71+P74+P75+P77+P78+P79+P80+P81)/100)</f>
        <v>0</v>
      </c>
      <c r="Q85" s="912"/>
      <c r="R85" s="913"/>
      <c r="S85" s="167"/>
      <c r="X85" s="332"/>
      <c r="Y85" s="332"/>
      <c r="Z85" s="332"/>
      <c r="AA85" s="168">
        <f>AB5</f>
        <v>200</v>
      </c>
      <c r="AB85" s="168" t="str">
        <f>L93</f>
        <v>Average Margin on COP / HA</v>
      </c>
      <c r="AC85" s="304">
        <f>$AT$85</f>
        <v>0</v>
      </c>
      <c r="AD85" s="168">
        <f>SUM(AA85*AC85)</f>
        <v>0</v>
      </c>
      <c r="AG85" s="337" t="e">
        <f>SUM(AD85-AG77)</f>
        <v>#DIV/0!</v>
      </c>
      <c r="AH85" s="249"/>
      <c r="AI85" s="249"/>
      <c r="AL85" s="169"/>
      <c r="AN85" s="249"/>
      <c r="AO85" s="200"/>
      <c r="AP85" s="200"/>
      <c r="AR85" s="168">
        <f>AS5</f>
        <v>225</v>
      </c>
      <c r="AS85" s="168">
        <f>Data!H47</f>
        <v>0</v>
      </c>
      <c r="AT85" s="304">
        <f>Data!I47</f>
        <v>0</v>
      </c>
      <c r="AU85" s="168">
        <f>SUM(AR85*AT85)</f>
        <v>0</v>
      </c>
      <c r="AV85" s="249"/>
      <c r="AW85" s="249"/>
      <c r="AX85" s="304" t="e">
        <f>SUM(AU85-AX77)</f>
        <v>#DIV/0!</v>
      </c>
      <c r="AY85" s="249"/>
      <c r="BD85" s="249"/>
      <c r="BE85" s="200"/>
      <c r="BF85" s="200">
        <f>BI5</f>
        <v>250</v>
      </c>
      <c r="BG85" s="200">
        <f>AQ85</f>
        <v>0</v>
      </c>
      <c r="BH85" s="168">
        <f>BI5</f>
        <v>250</v>
      </c>
      <c r="BI85" s="200">
        <f>AS85</f>
        <v>0</v>
      </c>
      <c r="BJ85" s="338">
        <f>AT85</f>
        <v>0</v>
      </c>
      <c r="BK85" s="168">
        <f>SUM(BH85*BJ85)</f>
        <v>0</v>
      </c>
      <c r="BL85" s="249"/>
      <c r="BM85" s="249"/>
      <c r="BN85" s="304" t="e">
        <f>SUM(BK85-BN77)</f>
        <v>#DIV/0!</v>
      </c>
      <c r="BO85" s="249"/>
      <c r="BX85" s="168">
        <f>BY5</f>
        <v>275</v>
      </c>
      <c r="BY85" s="168">
        <f>BI85</f>
        <v>0</v>
      </c>
      <c r="BZ85" s="304">
        <f>$AT$85</f>
        <v>0</v>
      </c>
      <c r="CA85" s="168">
        <f>SUM(BX85*BZ85)</f>
        <v>0</v>
      </c>
      <c r="CD85" s="304" t="e">
        <f>SUM(CA85-CD77)</f>
        <v>#DIV/0!</v>
      </c>
      <c r="CE85" s="249"/>
      <c r="CN85" s="168">
        <f>CO5</f>
        <v>300</v>
      </c>
      <c r="CO85" s="168">
        <f>BY85</f>
        <v>0</v>
      </c>
      <c r="CP85" s="304">
        <f>$AT$85</f>
        <v>0</v>
      </c>
      <c r="CQ85" s="168">
        <f>SUM(CN85*CP85)</f>
        <v>0</v>
      </c>
      <c r="CT85" s="304" t="e">
        <f>SUM(CQ85-CT77)</f>
        <v>#DIV/0!</v>
      </c>
      <c r="CU85" s="249"/>
      <c r="DD85" s="168">
        <f>DE5</f>
        <v>325</v>
      </c>
      <c r="DE85" s="168">
        <f>CO85</f>
        <v>0</v>
      </c>
      <c r="DF85" s="304">
        <f>$AT$85</f>
        <v>0</v>
      </c>
      <c r="DG85" s="168">
        <f>SUM(DD85*DF85)</f>
        <v>0</v>
      </c>
      <c r="DJ85" s="304" t="e">
        <f>SUM(DG85-DJ77)</f>
        <v>#DIV/0!</v>
      </c>
      <c r="DK85" s="249"/>
      <c r="DT85" s="168">
        <f>DU5</f>
        <v>350</v>
      </c>
      <c r="DU85" s="168">
        <f>DE85</f>
        <v>0</v>
      </c>
      <c r="DV85" s="304">
        <f>$AT$85</f>
        <v>0</v>
      </c>
      <c r="DW85" s="168">
        <f>SUM(DT85*DV85)</f>
        <v>0</v>
      </c>
      <c r="DZ85" s="304" t="e">
        <f>SUM(DW85-DZ77)</f>
        <v>#DIV/0!</v>
      </c>
      <c r="EA85" s="249"/>
      <c r="EJ85" s="168">
        <f>EK5</f>
        <v>375</v>
      </c>
      <c r="EK85" s="168">
        <f>DU85</f>
        <v>0</v>
      </c>
      <c r="EL85" s="304">
        <f>$AT$85</f>
        <v>0</v>
      </c>
      <c r="EM85" s="168">
        <f>SUM(EJ85*EL85)</f>
        <v>0</v>
      </c>
      <c r="EP85" s="304" t="e">
        <f>SUM(EM85-EP77)</f>
        <v>#DIV/0!</v>
      </c>
      <c r="EQ85" s="249"/>
      <c r="EZ85" s="168">
        <f>FA5</f>
        <v>400</v>
      </c>
      <c r="FA85" s="168">
        <f>EK85</f>
        <v>0</v>
      </c>
      <c r="FB85" s="304">
        <f>$AT$85</f>
        <v>0</v>
      </c>
      <c r="FC85" s="168">
        <f>SUM(EZ85*FB85)</f>
        <v>0</v>
      </c>
      <c r="FF85" s="304" t="e">
        <f>SUM(FC85-FF77)</f>
        <v>#DIV/0!</v>
      </c>
      <c r="FG85" s="249"/>
      <c r="FP85" s="168">
        <f>FQ5</f>
        <v>425</v>
      </c>
      <c r="FQ85" s="168">
        <f>FA85</f>
        <v>0</v>
      </c>
      <c r="FR85" s="304">
        <f>$AT$85</f>
        <v>0</v>
      </c>
      <c r="FS85" s="168">
        <f>SUM(FP85*FR85)</f>
        <v>0</v>
      </c>
      <c r="FV85" s="304" t="e">
        <f>SUM(FS85-FV77)</f>
        <v>#DIV/0!</v>
      </c>
      <c r="FW85" s="249"/>
      <c r="GF85" s="168">
        <f>GG5</f>
        <v>450</v>
      </c>
      <c r="GG85" s="168">
        <f>FQ85</f>
        <v>0</v>
      </c>
      <c r="GH85" s="304">
        <f>$AT$85</f>
        <v>0</v>
      </c>
      <c r="GI85" s="168">
        <f>SUM(GF85*GH85)</f>
        <v>0</v>
      </c>
      <c r="GL85" s="304" t="e">
        <f>SUM(GI85-GL77)</f>
        <v>#DIV/0!</v>
      </c>
      <c r="GM85" s="249"/>
      <c r="GV85" s="168">
        <f>GW5</f>
        <v>475</v>
      </c>
      <c r="GW85" s="168">
        <f>GG85</f>
        <v>0</v>
      </c>
      <c r="GX85" s="304">
        <f>$AT$85</f>
        <v>0</v>
      </c>
      <c r="GY85" s="168">
        <f>SUM(GV85*GX85)</f>
        <v>0</v>
      </c>
      <c r="HB85" s="304" t="e">
        <f>SUM(GY85-HB77)</f>
        <v>#DIV/0!</v>
      </c>
      <c r="HC85" s="249"/>
      <c r="HF85" s="172"/>
      <c r="HG85" s="172"/>
      <c r="HH85" s="172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168" customFormat="1" ht="12.75" x14ac:dyDescent="0.2">
      <c r="A86" s="869"/>
      <c r="B86" s="202"/>
      <c r="C86" s="162"/>
      <c r="F86" s="168">
        <f>IF(D15=0,0,(N15+N16+N17+N18+N20+N22))</f>
        <v>0</v>
      </c>
      <c r="H86" s="200">
        <f>IF(D26=0,0,(O26+O27+O28+O30+O32))</f>
        <v>0</v>
      </c>
      <c r="I86" s="249"/>
      <c r="J86" s="249"/>
      <c r="K86" s="183"/>
      <c r="L86" s="163"/>
      <c r="M86" s="66" t="s">
        <v>61</v>
      </c>
      <c r="N86" s="339" t="e">
        <f>SUM(N85*H5)</f>
        <v>#DIV/0!</v>
      </c>
      <c r="O86" s="340" t="e">
        <f>SUM(O85*H6)</f>
        <v>#DIV/0!</v>
      </c>
      <c r="P86" s="341">
        <f>SUM(P85*H7)</f>
        <v>0</v>
      </c>
      <c r="Q86" s="912"/>
      <c r="R86" s="913"/>
      <c r="S86" s="167"/>
      <c r="AA86" s="249"/>
      <c r="AD86" s="249"/>
      <c r="AG86" s="337" t="e">
        <f>SUM(AD85-AG80)</f>
        <v>#DIV/0!</v>
      </c>
      <c r="AH86" s="249"/>
      <c r="AI86" s="249"/>
      <c r="AL86" s="169"/>
      <c r="AN86" s="249"/>
      <c r="AO86" s="249"/>
      <c r="AP86" s="200"/>
      <c r="AQ86" s="249"/>
      <c r="AR86" s="249"/>
      <c r="AS86" s="249"/>
      <c r="AT86" s="249"/>
      <c r="AU86" s="249"/>
      <c r="AV86" s="249"/>
      <c r="AW86" s="249"/>
      <c r="AX86" s="304" t="e">
        <f>SUM(AU85-AX80)</f>
        <v>#DIV/0!</v>
      </c>
      <c r="AY86" s="249"/>
      <c r="BD86" s="249"/>
      <c r="BE86" s="200"/>
      <c r="BF86" s="200"/>
      <c r="BG86" s="200"/>
      <c r="BH86" s="249"/>
      <c r="BI86" s="200"/>
      <c r="BJ86" s="200"/>
      <c r="BK86" s="249"/>
      <c r="BL86" s="249"/>
      <c r="BM86" s="249"/>
      <c r="BN86" s="304" t="e">
        <f>SUM(BK85-BN80)</f>
        <v>#DIV/0!</v>
      </c>
      <c r="BO86" s="249"/>
      <c r="BX86" s="249"/>
      <c r="CA86" s="249"/>
      <c r="CD86" s="304" t="e">
        <f>SUM(CA85-CD80)</f>
        <v>#DIV/0!</v>
      </c>
      <c r="CE86" s="249"/>
      <c r="CN86" s="249"/>
      <c r="CQ86" s="249"/>
      <c r="CT86" s="304" t="e">
        <f>SUM(CQ85-CT80)</f>
        <v>#DIV/0!</v>
      </c>
      <c r="CU86" s="249"/>
      <c r="DD86" s="249"/>
      <c r="DG86" s="249"/>
      <c r="DJ86" s="304" t="e">
        <f>SUM(DG85-DJ80)</f>
        <v>#DIV/0!</v>
      </c>
      <c r="DK86" s="249"/>
      <c r="DT86" s="249"/>
      <c r="DW86" s="249"/>
      <c r="DZ86" s="304" t="e">
        <f>SUM(DW85-DZ80)</f>
        <v>#DIV/0!</v>
      </c>
      <c r="EA86" s="249"/>
      <c r="EJ86" s="249"/>
      <c r="EM86" s="249"/>
      <c r="EP86" s="304" t="e">
        <f>SUM(EM85-EP80)</f>
        <v>#DIV/0!</v>
      </c>
      <c r="EQ86" s="249"/>
      <c r="EZ86" s="249"/>
      <c r="FC86" s="249"/>
      <c r="FF86" s="304" t="e">
        <f>SUM(FC85-FF80)</f>
        <v>#DIV/0!</v>
      </c>
      <c r="FG86" s="249"/>
      <c r="FP86" s="249"/>
      <c r="FS86" s="249"/>
      <c r="FV86" s="304" t="e">
        <f>SUM(FS85-FV80)</f>
        <v>#DIV/0!</v>
      </c>
      <c r="FW86" s="249"/>
      <c r="GF86" s="249"/>
      <c r="GI86" s="249"/>
      <c r="GL86" s="304" t="e">
        <f>SUM(GI85-GL80)</f>
        <v>#DIV/0!</v>
      </c>
      <c r="GM86" s="249"/>
      <c r="GV86" s="249"/>
      <c r="GY86" s="249"/>
      <c r="HB86" s="304" t="e">
        <f>SUM(GY85-HB80)</f>
        <v>#DIV/0!</v>
      </c>
      <c r="HC86" s="249"/>
      <c r="HF86" s="172"/>
      <c r="HG86" s="172"/>
      <c r="HH86" s="172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168" customFormat="1" ht="12.75" customHeight="1" x14ac:dyDescent="0.2">
      <c r="A87" s="869"/>
      <c r="B87" s="202"/>
      <c r="C87" s="162"/>
      <c r="D87" s="162"/>
      <c r="E87" s="162"/>
      <c r="F87" s="162"/>
      <c r="G87" s="162"/>
      <c r="H87" s="51"/>
      <c r="I87" s="66" t="s">
        <v>438</v>
      </c>
      <c r="J87" s="342">
        <f>'Print A4'!I94</f>
        <v>0</v>
      </c>
      <c r="K87" s="183"/>
      <c r="L87" t="s">
        <v>378</v>
      </c>
      <c r="M87" s="114"/>
      <c r="N87" s="343" t="e">
        <f>IF(N86=0,0,(Data!J47-N86))</f>
        <v>#DIV/0!</v>
      </c>
      <c r="O87" s="344" t="e">
        <f>IF(O86=0,0,(Data!J48-O86))</f>
        <v>#DIV/0!</v>
      </c>
      <c r="P87" s="345">
        <f>IF(P86=0,0,(Data!J49-P86))</f>
        <v>0</v>
      </c>
      <c r="Q87" s="912"/>
      <c r="R87" s="913"/>
      <c r="S87" s="167"/>
      <c r="AA87" s="168">
        <f>AB6</f>
        <v>200</v>
      </c>
      <c r="AB87" s="168" t="str">
        <f>L95</f>
        <v>Total cost of production</v>
      </c>
      <c r="AC87" s="304">
        <f>$AT$85</f>
        <v>0</v>
      </c>
      <c r="AD87" s="168">
        <f>SUM(AA87*AC87)</f>
        <v>0</v>
      </c>
      <c r="AG87" s="249"/>
      <c r="AH87" s="337" t="e">
        <f>SUM(AD87-AH77)</f>
        <v>#DIV/0!</v>
      </c>
      <c r="AI87" s="249"/>
      <c r="AL87" s="169"/>
      <c r="AN87" s="249"/>
      <c r="AO87" s="200"/>
      <c r="AP87" s="200"/>
      <c r="AR87" s="168">
        <f>AS6</f>
        <v>225</v>
      </c>
      <c r="AS87" s="168">
        <f>Data!H48</f>
        <v>0</v>
      </c>
      <c r="AT87" s="304">
        <f>$AT$85</f>
        <v>0</v>
      </c>
      <c r="AU87" s="168">
        <f>SUM(AR87*AT87)</f>
        <v>0</v>
      </c>
      <c r="AV87" s="249"/>
      <c r="AW87" s="249"/>
      <c r="AY87" s="304" t="e">
        <f>SUM(AU87-AY77)</f>
        <v>#DIV/0!</v>
      </c>
      <c r="BD87" s="249"/>
      <c r="BE87" s="200"/>
      <c r="BF87" s="200">
        <f>BI6</f>
        <v>250</v>
      </c>
      <c r="BG87" s="200">
        <f>AQ87</f>
        <v>0</v>
      </c>
      <c r="BH87" s="168">
        <f>BI6</f>
        <v>250</v>
      </c>
      <c r="BI87" s="200">
        <f>AS87</f>
        <v>0</v>
      </c>
      <c r="BJ87" s="304">
        <f>$AT$85</f>
        <v>0</v>
      </c>
      <c r="BK87" s="168">
        <f>SUM(BH87*BJ87)</f>
        <v>0</v>
      </c>
      <c r="BL87" s="249"/>
      <c r="BM87" s="249"/>
      <c r="BO87" s="304" t="e">
        <f>SUM(BK87-BO77)</f>
        <v>#DIV/0!</v>
      </c>
      <c r="BX87" s="168">
        <f>BY6</f>
        <v>275</v>
      </c>
      <c r="BY87" s="168">
        <f>BI87</f>
        <v>0</v>
      </c>
      <c r="BZ87" s="304">
        <f>$AT$85</f>
        <v>0</v>
      </c>
      <c r="CA87" s="168">
        <f>SUM(BX87*BZ87)</f>
        <v>0</v>
      </c>
      <c r="CE87" s="304" t="e">
        <f>SUM(CA87-CE77)</f>
        <v>#DIV/0!</v>
      </c>
      <c r="CN87" s="168">
        <f>CO6</f>
        <v>300</v>
      </c>
      <c r="CO87" s="168">
        <f>BY87</f>
        <v>0</v>
      </c>
      <c r="CP87" s="304">
        <f>$AT$87</f>
        <v>0</v>
      </c>
      <c r="CQ87" s="168">
        <f>SUM(CN87*CP87)</f>
        <v>0</v>
      </c>
      <c r="CU87" s="304" t="e">
        <f>SUM(CQ87-CU77)</f>
        <v>#DIV/0!</v>
      </c>
      <c r="DD87" s="168">
        <f>DE6</f>
        <v>325</v>
      </c>
      <c r="DE87" s="168">
        <f>CO87</f>
        <v>0</v>
      </c>
      <c r="DF87" s="304">
        <f>$AT$87</f>
        <v>0</v>
      </c>
      <c r="DG87" s="168">
        <f>SUM(DD87*DF87)</f>
        <v>0</v>
      </c>
      <c r="DK87" s="304" t="e">
        <f>SUM(DG87-DK77)</f>
        <v>#DIV/0!</v>
      </c>
      <c r="DT87" s="168">
        <f>DU6</f>
        <v>350</v>
      </c>
      <c r="DU87" s="168">
        <f>DE87</f>
        <v>0</v>
      </c>
      <c r="DV87" s="304">
        <f>$AT$87</f>
        <v>0</v>
      </c>
      <c r="DW87" s="168">
        <f>SUM(DT87*DV87)</f>
        <v>0</v>
      </c>
      <c r="EA87" s="304" t="e">
        <f>SUM(DW87-EA77)</f>
        <v>#DIV/0!</v>
      </c>
      <c r="EJ87" s="168">
        <f>EK6</f>
        <v>375</v>
      </c>
      <c r="EK87" s="168">
        <f>DU87</f>
        <v>0</v>
      </c>
      <c r="EL87" s="304">
        <f>$AT$87</f>
        <v>0</v>
      </c>
      <c r="EM87" s="168">
        <f>SUM(EJ87*EL87)</f>
        <v>0</v>
      </c>
      <c r="EQ87" s="304" t="e">
        <f>SUM(EM87-EQ77)</f>
        <v>#DIV/0!</v>
      </c>
      <c r="EZ87" s="168">
        <f>FA6</f>
        <v>400</v>
      </c>
      <c r="FA87" s="168">
        <f>EK87</f>
        <v>0</v>
      </c>
      <c r="FB87" s="304">
        <f>$AT$87</f>
        <v>0</v>
      </c>
      <c r="FC87" s="168">
        <f>SUM(EZ87*FB87)</f>
        <v>0</v>
      </c>
      <c r="FG87" s="304" t="e">
        <f>SUM(FC87-FG77)</f>
        <v>#DIV/0!</v>
      </c>
      <c r="FP87" s="168">
        <f>FQ6</f>
        <v>425</v>
      </c>
      <c r="FQ87" s="168">
        <f>FA87</f>
        <v>0</v>
      </c>
      <c r="FR87" s="304">
        <f>$AT$87</f>
        <v>0</v>
      </c>
      <c r="FS87" s="168">
        <f>SUM(FP87*FR87)</f>
        <v>0</v>
      </c>
      <c r="FW87" s="304" t="e">
        <f>SUM(FS87-FW77)</f>
        <v>#DIV/0!</v>
      </c>
      <c r="GF87" s="168">
        <f>GG6</f>
        <v>450</v>
      </c>
      <c r="GG87" s="168">
        <f>FQ87</f>
        <v>0</v>
      </c>
      <c r="GH87" s="304">
        <f>$AT$87</f>
        <v>0</v>
      </c>
      <c r="GI87" s="168">
        <f>SUM(GF87*GH87)</f>
        <v>0</v>
      </c>
      <c r="GM87" s="304" t="e">
        <f>SUM(GI87-GM77)</f>
        <v>#DIV/0!</v>
      </c>
      <c r="GV87" s="168">
        <f>GW6</f>
        <v>475</v>
      </c>
      <c r="GW87" s="168">
        <f>GG87</f>
        <v>0</v>
      </c>
      <c r="GX87" s="304">
        <f>$AT$87</f>
        <v>0</v>
      </c>
      <c r="GY87" s="168">
        <f>SUM(GV87*GX87)</f>
        <v>0</v>
      </c>
      <c r="HC87" s="304" t="e">
        <f>SUM(GY87-HC77)</f>
        <v>#DIV/0!</v>
      </c>
      <c r="HF87" s="172"/>
      <c r="HG87" s="172"/>
      <c r="HH87" s="172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168" customFormat="1" ht="12.75" x14ac:dyDescent="0.2">
      <c r="A88" s="869"/>
      <c r="B88" s="202"/>
      <c r="C88" s="162"/>
      <c r="D88" s="162"/>
      <c r="E88" s="162"/>
      <c r="F88" s="162"/>
      <c r="G88" s="162"/>
      <c r="H88" s="51"/>
      <c r="I88" s="1"/>
      <c r="J88" s="3"/>
      <c r="K88" s="183"/>
      <c r="L88"/>
      <c r="M88" s="335" t="s">
        <v>436</v>
      </c>
      <c r="N88" s="336" t="e">
        <f>IF(D15=0,0,((F85+F86)/100))</f>
        <v>#DIV/0!</v>
      </c>
      <c r="O88" s="336" t="e">
        <f>IF(Data!E17=0,0,(H85+H86)/100)</f>
        <v>#DIV/0!</v>
      </c>
      <c r="P88" s="346"/>
      <c r="Q88" s="912"/>
      <c r="R88" s="913"/>
      <c r="S88" s="167"/>
      <c r="AA88" s="249"/>
      <c r="AD88" s="249"/>
      <c r="AG88" s="249"/>
      <c r="AH88" s="337" t="e">
        <f>SUM(AD87-AH80)</f>
        <v>#DIV/0!</v>
      </c>
      <c r="AI88" s="249"/>
      <c r="AL88" s="169"/>
      <c r="AN88" s="249"/>
      <c r="AO88" s="249"/>
      <c r="AP88" s="200"/>
      <c r="AQ88" s="249"/>
      <c r="AR88" s="249"/>
      <c r="AS88" s="249"/>
      <c r="AT88" s="249"/>
      <c r="AU88" s="249"/>
      <c r="AY88" s="304" t="e">
        <f>SUM(AU87-AY80)</f>
        <v>#DIV/0!</v>
      </c>
      <c r="BD88" s="249"/>
      <c r="BE88" s="200"/>
      <c r="BF88" s="200"/>
      <c r="BG88" s="200"/>
      <c r="BH88" s="249"/>
      <c r="BI88" s="200"/>
      <c r="BJ88" s="200"/>
      <c r="BK88" s="249"/>
      <c r="BO88" s="304" t="e">
        <f>SUM(BK87-BO80)</f>
        <v>#DIV/0!</v>
      </c>
      <c r="BX88" s="249"/>
      <c r="CA88" s="249"/>
      <c r="CE88" s="304" t="e">
        <f>SUM(CA87-CE80)</f>
        <v>#DIV/0!</v>
      </c>
      <c r="CN88" s="249"/>
      <c r="CQ88" s="249"/>
      <c r="CU88" s="304" t="e">
        <f>SUM(CQ87-CU80)</f>
        <v>#DIV/0!</v>
      </c>
      <c r="DD88" s="249"/>
      <c r="DG88" s="249"/>
      <c r="DK88" s="304" t="e">
        <f>SUM(DG87-DK80)</f>
        <v>#DIV/0!</v>
      </c>
      <c r="DT88" s="249"/>
      <c r="DW88" s="249"/>
      <c r="EA88" s="304" t="e">
        <f>SUM(DW87-EA80)</f>
        <v>#DIV/0!</v>
      </c>
      <c r="EJ88" s="249"/>
      <c r="EM88" s="249"/>
      <c r="EQ88" s="304" t="e">
        <f>SUM(EM87-EQ80)</f>
        <v>#DIV/0!</v>
      </c>
      <c r="EZ88" s="249"/>
      <c r="FC88" s="249"/>
      <c r="FG88" s="304" t="e">
        <f>SUM(FC87-FG80)</f>
        <v>#DIV/0!</v>
      </c>
      <c r="FP88" s="249"/>
      <c r="FS88" s="249"/>
      <c r="FW88" s="304" t="e">
        <f>SUM(FS87-FW80)</f>
        <v>#DIV/0!</v>
      </c>
      <c r="GF88" s="249"/>
      <c r="GI88" s="249"/>
      <c r="GM88" s="304" t="e">
        <f>SUM(GI87-GM80)</f>
        <v>#DIV/0!</v>
      </c>
      <c r="GV88" s="249"/>
      <c r="GY88" s="249"/>
      <c r="HC88" s="304" t="e">
        <f>SUM(GY87-HC80)</f>
        <v>#DIV/0!</v>
      </c>
      <c r="HF88" s="172"/>
      <c r="HG88" s="172"/>
      <c r="HH88" s="172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168" customFormat="1" ht="12.75" x14ac:dyDescent="0.2">
      <c r="A89" s="869"/>
      <c r="B89" s="257"/>
      <c r="C89" s="258"/>
      <c r="D89" s="258"/>
      <c r="E89" s="258"/>
      <c r="F89" s="258"/>
      <c r="G89" s="258"/>
      <c r="H89" s="258"/>
      <c r="I89" s="258"/>
      <c r="J89" s="259"/>
      <c r="K89" s="259"/>
      <c r="L89" s="252"/>
      <c r="M89" s="347" t="s">
        <v>61</v>
      </c>
      <c r="N89" s="348" t="e">
        <f>SUM(N88*H5)</f>
        <v>#DIV/0!</v>
      </c>
      <c r="O89" s="349" t="e">
        <f>SUM(O88*H6)</f>
        <v>#DIV/0!</v>
      </c>
      <c r="P89" s="350"/>
      <c r="Q89" s="912"/>
      <c r="R89" s="913"/>
      <c r="S89" s="167"/>
      <c r="AA89" s="168">
        <f>AB7</f>
        <v>200</v>
      </c>
      <c r="AB89" s="168">
        <f>I98</f>
        <v>0</v>
      </c>
      <c r="AC89" s="304">
        <f>$AT$89</f>
        <v>0</v>
      </c>
      <c r="AD89" s="168">
        <f>SUM(AA89*AC89)</f>
        <v>0</v>
      </c>
      <c r="AG89" s="249"/>
      <c r="AH89" s="249"/>
      <c r="AI89" s="351">
        <f>SUM(AD89-AI77)</f>
        <v>0</v>
      </c>
      <c r="AL89" s="169"/>
      <c r="AN89" s="249"/>
      <c r="AO89" s="200"/>
      <c r="AP89" s="200"/>
      <c r="AR89" s="168">
        <f>AS7</f>
        <v>225</v>
      </c>
      <c r="AS89" s="168">
        <f>Data!H49</f>
        <v>0</v>
      </c>
      <c r="AT89" s="304">
        <f>Data!I49</f>
        <v>0</v>
      </c>
      <c r="AU89" s="168">
        <f>SUM(AR89*AT89)</f>
        <v>0</v>
      </c>
      <c r="AZ89" s="168">
        <f>SUM(AU89-AZ77)</f>
        <v>0</v>
      </c>
      <c r="BD89" s="249"/>
      <c r="BE89" s="200"/>
      <c r="BF89" s="200">
        <f>BI7</f>
        <v>250</v>
      </c>
      <c r="BG89" s="200">
        <f>AQ89</f>
        <v>0</v>
      </c>
      <c r="BH89" s="168">
        <f>BI7</f>
        <v>250</v>
      </c>
      <c r="BI89" s="200">
        <f>AS89</f>
        <v>0</v>
      </c>
      <c r="BJ89" s="338">
        <f>AT89</f>
        <v>0</v>
      </c>
      <c r="BK89" s="168">
        <f>SUM(BH89*BJ89)</f>
        <v>0</v>
      </c>
      <c r="BP89" s="168">
        <f>SUM(BK89-BP77)</f>
        <v>0</v>
      </c>
      <c r="BX89" s="168">
        <f>BY7</f>
        <v>275</v>
      </c>
      <c r="BY89" s="168">
        <f>BI89</f>
        <v>0</v>
      </c>
      <c r="BZ89" s="304">
        <f>$AT$89</f>
        <v>0</v>
      </c>
      <c r="CA89" s="168">
        <f>SUM(BX89*BZ89)</f>
        <v>0</v>
      </c>
      <c r="CF89" s="168">
        <f>SUM(CA89-CF77)</f>
        <v>0</v>
      </c>
      <c r="CN89" s="168">
        <f>CO7</f>
        <v>300</v>
      </c>
      <c r="CO89" s="168">
        <f>BY89</f>
        <v>0</v>
      </c>
      <c r="CP89" s="304">
        <f>$AT$89</f>
        <v>0</v>
      </c>
      <c r="CQ89" s="168">
        <f>SUM(CN89*CP89)</f>
        <v>0</v>
      </c>
      <c r="CV89" s="168">
        <f>SUM(CQ89-CV77)</f>
        <v>0</v>
      </c>
      <c r="DD89" s="168">
        <f>DE7</f>
        <v>325</v>
      </c>
      <c r="DE89" s="168">
        <f>CO89</f>
        <v>0</v>
      </c>
      <c r="DF89" s="304">
        <f>$AT$89</f>
        <v>0</v>
      </c>
      <c r="DG89" s="168">
        <f>SUM(DD89*DF89)</f>
        <v>0</v>
      </c>
      <c r="DL89" s="168">
        <f>SUM(DG89-DL77)</f>
        <v>0</v>
      </c>
      <c r="DT89" s="168">
        <f>DU7</f>
        <v>350</v>
      </c>
      <c r="DU89" s="168">
        <f>DE89</f>
        <v>0</v>
      </c>
      <c r="DV89" s="304">
        <f>$AT$89</f>
        <v>0</v>
      </c>
      <c r="DW89" s="168">
        <f>SUM(DT89*DV89)</f>
        <v>0</v>
      </c>
      <c r="EB89" s="168">
        <f>SUM(DW89-EB77)</f>
        <v>0</v>
      </c>
      <c r="EJ89" s="168">
        <f>EK7</f>
        <v>375</v>
      </c>
      <c r="EK89" s="168">
        <f>DU89</f>
        <v>0</v>
      </c>
      <c r="EL89" s="304">
        <f>$AT$89</f>
        <v>0</v>
      </c>
      <c r="EM89" s="168">
        <f>SUM(EJ89*EL89)</f>
        <v>0</v>
      </c>
      <c r="ER89" s="168">
        <f>SUM(EM89-ER77)</f>
        <v>0</v>
      </c>
      <c r="EZ89" s="168">
        <f>FA7</f>
        <v>400</v>
      </c>
      <c r="FA89" s="168">
        <f>EK89</f>
        <v>0</v>
      </c>
      <c r="FB89" s="304">
        <f>$AT$89</f>
        <v>0</v>
      </c>
      <c r="FC89" s="168">
        <f>SUM(EZ89*FB89)</f>
        <v>0</v>
      </c>
      <c r="FH89" s="168">
        <f>SUM(FC89-FH77)</f>
        <v>0</v>
      </c>
      <c r="FP89" s="168">
        <f>FQ7</f>
        <v>425</v>
      </c>
      <c r="FQ89" s="168">
        <f>FA89</f>
        <v>0</v>
      </c>
      <c r="FR89" s="304">
        <f>$AT$89</f>
        <v>0</v>
      </c>
      <c r="FS89" s="168">
        <f>SUM(FP89*FR89)</f>
        <v>0</v>
      </c>
      <c r="FX89" s="168">
        <f>SUM(FS89-FX77)</f>
        <v>0</v>
      </c>
      <c r="GF89" s="168">
        <f>GG7</f>
        <v>450</v>
      </c>
      <c r="GG89" s="168">
        <f>FQ89</f>
        <v>0</v>
      </c>
      <c r="GH89" s="304">
        <f>$AT$89</f>
        <v>0</v>
      </c>
      <c r="GI89" s="168">
        <f>SUM(GF89*GH89)</f>
        <v>0</v>
      </c>
      <c r="GN89" s="168">
        <f>SUM(GI89-GN77)</f>
        <v>0</v>
      </c>
      <c r="GV89" s="168">
        <f>GW7</f>
        <v>475</v>
      </c>
      <c r="GW89" s="168">
        <f>GG89</f>
        <v>0</v>
      </c>
      <c r="GX89" s="304">
        <f>$AT$89</f>
        <v>0</v>
      </c>
      <c r="GY89" s="168">
        <f>SUM(GV89*GX89)</f>
        <v>0</v>
      </c>
      <c r="HD89" s="168">
        <f>SUM(GY89-HD77)</f>
        <v>0</v>
      </c>
      <c r="HF89" s="172"/>
      <c r="HG89" s="172"/>
      <c r="HH89" s="172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168" customFormat="1" ht="12.75" customHeight="1" x14ac:dyDescent="0.2">
      <c r="A90" s="869"/>
      <c r="B90" s="257"/>
      <c r="C90" s="258"/>
      <c r="D90" s="258"/>
      <c r="E90" s="258"/>
      <c r="F90" s="258"/>
      <c r="G90" s="258"/>
      <c r="H90" s="258"/>
      <c r="I90" s="352" t="s">
        <v>438</v>
      </c>
      <c r="J90" s="353">
        <f>'Print A4'!I94</f>
        <v>0</v>
      </c>
      <c r="K90" s="259"/>
      <c r="L90" s="252" t="s">
        <v>378</v>
      </c>
      <c r="M90" s="354"/>
      <c r="N90" s="343" t="e">
        <f>IF(N89=0,0,(Data!J47-N89))</f>
        <v>#DIV/0!</v>
      </c>
      <c r="O90" s="344" t="e">
        <f>IF(O89=0,0,(Data!J48-O89))</f>
        <v>#DIV/0!</v>
      </c>
      <c r="P90" s="350"/>
      <c r="Q90" s="912"/>
      <c r="R90" s="913"/>
      <c r="S90" s="167"/>
      <c r="AF90" s="355" t="s">
        <v>439</v>
      </c>
      <c r="AG90" s="924" t="e">
        <f>SUM(AG91/((AB8*1000)/X27))</f>
        <v>#DIV/0!</v>
      </c>
      <c r="AH90" s="924"/>
      <c r="AI90" s="924"/>
      <c r="AL90" s="169"/>
      <c r="AW90" s="355" t="s">
        <v>439</v>
      </c>
      <c r="AX90" s="924" t="e">
        <f>SUM(AX91/((AS8*1000)/AO27))</f>
        <v>#DIV/0!</v>
      </c>
      <c r="AY90" s="924"/>
      <c r="AZ90" s="924"/>
      <c r="BM90" s="355" t="s">
        <v>439</v>
      </c>
      <c r="BN90" s="924" t="e">
        <f>SUM(BN91/((BI8*1000)/BE27))</f>
        <v>#DIV/0!</v>
      </c>
      <c r="BO90" s="924"/>
      <c r="BP90" s="924"/>
      <c r="CC90" s="355" t="s">
        <v>439</v>
      </c>
      <c r="CD90" s="924" t="e">
        <f>SUM(CD91/((BY8*1000)/BU27))</f>
        <v>#DIV/0!</v>
      </c>
      <c r="CE90" s="924"/>
      <c r="CF90" s="924"/>
      <c r="CS90" s="355" t="s">
        <v>439</v>
      </c>
      <c r="CT90" s="924" t="e">
        <f>SUM(CT91/((CO8*1000)/CK27))</f>
        <v>#DIV/0!</v>
      </c>
      <c r="CU90" s="924"/>
      <c r="CV90" s="924"/>
      <c r="DI90" s="355" t="s">
        <v>439</v>
      </c>
      <c r="DJ90" s="924" t="e">
        <f>SUM(DJ91/((DE8*1000)/DA27))</f>
        <v>#DIV/0!</v>
      </c>
      <c r="DK90" s="924"/>
      <c r="DL90" s="924"/>
      <c r="DY90" s="355" t="s">
        <v>439</v>
      </c>
      <c r="DZ90" s="924" t="e">
        <f>SUM(DZ91/((DU8*1000)/DQ27))</f>
        <v>#DIV/0!</v>
      </c>
      <c r="EA90" s="924"/>
      <c r="EB90" s="924"/>
      <c r="EO90" s="355" t="s">
        <v>439</v>
      </c>
      <c r="EP90" s="924" t="e">
        <f>SUM(EP91/((EK8*1000)/EG27))</f>
        <v>#DIV/0!</v>
      </c>
      <c r="EQ90" s="924"/>
      <c r="ER90" s="924"/>
      <c r="FE90" s="355" t="s">
        <v>439</v>
      </c>
      <c r="FF90" s="924" t="e">
        <f>SUM(FF91/((FA8*1000)/EW27))</f>
        <v>#DIV/0!</v>
      </c>
      <c r="FG90" s="924"/>
      <c r="FH90" s="924"/>
      <c r="FU90" s="355" t="s">
        <v>439</v>
      </c>
      <c r="FV90" s="924" t="e">
        <f>SUM(FV91/((FQ8*1000)/FM27))</f>
        <v>#DIV/0!</v>
      </c>
      <c r="FW90" s="924"/>
      <c r="FX90" s="924"/>
      <c r="GK90" s="355" t="s">
        <v>439</v>
      </c>
      <c r="GL90" s="924" t="e">
        <f>SUM(GL91/((GG8*1000)/GC27))</f>
        <v>#DIV/0!</v>
      </c>
      <c r="GM90" s="924"/>
      <c r="GN90" s="924"/>
      <c r="HA90" s="355" t="s">
        <v>439</v>
      </c>
      <c r="HB90" s="924" t="e">
        <f>SUM(HB91/((GW8*1000)/GS27))</f>
        <v>#DIV/0!</v>
      </c>
      <c r="HC90" s="924"/>
      <c r="HD90" s="924"/>
      <c r="HF90" s="172"/>
      <c r="HG90" s="172"/>
      <c r="HH90" s="172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168" customFormat="1" ht="28.35" customHeight="1" x14ac:dyDescent="0.2">
      <c r="A91" s="869"/>
      <c r="B91" s="356"/>
      <c r="C91"/>
      <c r="D91"/>
      <c r="E91"/>
      <c r="F91"/>
      <c r="G91"/>
      <c r="H91"/>
      <c r="I91" s="166"/>
      <c r="J91" s="1"/>
      <c r="K91" s="357"/>
      <c r="L91" s="358" t="s">
        <v>439</v>
      </c>
      <c r="M91" s="917" t="e">
        <f>'Print A4'!L89</f>
        <v>#DIV/0!</v>
      </c>
      <c r="N91" s="917"/>
      <c r="O91" s="917"/>
      <c r="P91" s="917"/>
      <c r="Q91" s="912"/>
      <c r="R91" s="913"/>
      <c r="S91" s="167"/>
      <c r="AF91" s="355" t="s">
        <v>440</v>
      </c>
      <c r="AG91" s="918" t="e">
        <f>SUM((AG76*AB5*X12)+(AG79*AB5*X14)+(AH76*AB6*X19)+(AH79*AB6*X21)+(AI76*AB7*X26))/X27</f>
        <v>#DIV/0!</v>
      </c>
      <c r="AH91" s="918"/>
      <c r="AI91" s="918"/>
      <c r="AL91" s="169"/>
      <c r="AW91" s="355" t="s">
        <v>440</v>
      </c>
      <c r="AX91" s="918" t="e">
        <f>SUM((AX76*AS5*AO12)+(AX79*AS5*AO14)+(AY76*AS6*AO19)+(AY79*AS6*AO21)+(AZ76*AS7*AO26))/AO27</f>
        <v>#DIV/0!</v>
      </c>
      <c r="AY91" s="918"/>
      <c r="AZ91" s="918"/>
      <c r="BM91" s="355" t="s">
        <v>440</v>
      </c>
      <c r="BN91" s="918" t="e">
        <f>SUM((BN76*BI5*BE12)+(BN79*BI5*BE14)+(BO76*BI6*BE19)+(BO79*BI6*BE21)+(BP76*BI7*BE26))/BE27</f>
        <v>#DIV/0!</v>
      </c>
      <c r="BO91" s="918"/>
      <c r="BP91" s="918"/>
      <c r="CC91" s="355" t="s">
        <v>440</v>
      </c>
      <c r="CD91" s="918" t="e">
        <f>SUM((CD76*BY5*BU12)+(CD79*BY5*BU14)+(CE76*BY6*BU19)+(CE79*BY6*BU21)+(CF76*BY7*BU26))/BU27</f>
        <v>#DIV/0!</v>
      </c>
      <c r="CE91" s="918"/>
      <c r="CF91" s="918"/>
      <c r="CS91" s="355" t="s">
        <v>440</v>
      </c>
      <c r="CT91" s="918" t="e">
        <f>SUM((CT76*CO5*CK12)+(CT79*CO5*CK14)+(CU76*CO6*CK19)+(CU79*CO6*CK21)+(CV76*CO7*CK26))/CK27</f>
        <v>#DIV/0!</v>
      </c>
      <c r="CU91" s="918"/>
      <c r="CV91" s="918"/>
      <c r="DI91" s="355" t="s">
        <v>440</v>
      </c>
      <c r="DJ91" s="918" t="e">
        <f>SUM((DJ76*DE5*DA12)+(DJ79*DE5*DA14)+(DK76*DE6*DA19)+(DK79*DE6*DA21)+(DL76*DE7*DA26))/DA27</f>
        <v>#DIV/0!</v>
      </c>
      <c r="DK91" s="918"/>
      <c r="DL91" s="918"/>
      <c r="DY91" s="355" t="s">
        <v>440</v>
      </c>
      <c r="DZ91" s="918" t="e">
        <f>SUM((DZ76*DU5*DQ12)+(DZ79*DU5*DQ14)+(EA76*DU6*DQ19)+(EA79*DU6*DQ21)+(EB76*DU7*DQ26))/DQ27</f>
        <v>#DIV/0!</v>
      </c>
      <c r="EA91" s="918"/>
      <c r="EB91" s="918"/>
      <c r="EO91" s="355" t="s">
        <v>440</v>
      </c>
      <c r="EP91" s="918" t="e">
        <f>SUM((EP76*EK5*EG12)+(EP79*EK5*EG14)+(EQ76*EK6*EG19)+(EQ79*EK6*EG21)+(ER76*EK7*EG26))/EG27</f>
        <v>#DIV/0!</v>
      </c>
      <c r="EQ91" s="918"/>
      <c r="ER91" s="918"/>
      <c r="FE91" s="355" t="s">
        <v>440</v>
      </c>
      <c r="FF91" s="918" t="e">
        <f>SUM((FF76*FA5*EW12)+(FF79*FA5*EW14)+(FG76*FA6*EW19)+(FG79*FA6*EW21)+(FH76*FA7*EW26))/EW27</f>
        <v>#DIV/0!</v>
      </c>
      <c r="FG91" s="918"/>
      <c r="FH91" s="918"/>
      <c r="FU91" s="355" t="s">
        <v>440</v>
      </c>
      <c r="FV91" s="918" t="e">
        <f>SUM((FV76*FQ5*FM12)+(FV79*FQ5*FM14)+(FW76*FQ6*FM19)+(FW79*FQ6*FM21)+(FX76*FQ7*FM26))/FM27</f>
        <v>#DIV/0!</v>
      </c>
      <c r="FW91" s="918"/>
      <c r="FX91" s="918"/>
      <c r="GK91" s="355" t="s">
        <v>440</v>
      </c>
      <c r="GL91" s="918" t="e">
        <f>SUM((GL76*GG5*GC12)+(GL79*GG5*GC14)+(GM76*GG6*GC19)+(GM79*GG6*GC21)+(GN76*GG7*GC26))/GC27</f>
        <v>#DIV/0!</v>
      </c>
      <c r="GM91" s="918"/>
      <c r="GN91" s="918"/>
      <c r="HA91" s="355" t="s">
        <v>440</v>
      </c>
      <c r="HB91" s="918" t="e">
        <f>SUM((HB76*GW5*GS12)+(HB79*GW5*GS14)+(HC76*GW6*GS19)+(HC79*GW6*GS21)+(HD76*GW7*GS26))/GS27</f>
        <v>#DIV/0!</v>
      </c>
      <c r="HC91" s="918"/>
      <c r="HD91" s="918"/>
      <c r="HF91" s="172"/>
      <c r="HG91" s="172"/>
      <c r="HH91" s="172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168" customFormat="1" ht="12.75" x14ac:dyDescent="0.2">
      <c r="A92" s="869"/>
      <c r="B92" s="359"/>
      <c r="C92" s="360"/>
      <c r="D92" s="360"/>
      <c r="E92" s="360"/>
      <c r="F92"/>
      <c r="G92"/>
      <c r="H92"/>
      <c r="I92" s="166"/>
      <c r="J92" s="1"/>
      <c r="K92" s="357"/>
      <c r="L92" s="358" t="s">
        <v>440</v>
      </c>
      <c r="M92" s="919" t="e">
        <f>'Print A4'!L90</f>
        <v>#DIV/0!</v>
      </c>
      <c r="N92" s="919"/>
      <c r="O92" s="919"/>
      <c r="P92" s="919"/>
      <c r="Q92" s="912"/>
      <c r="R92" s="913"/>
      <c r="S92" s="167"/>
      <c r="AF92" s="355" t="s">
        <v>441</v>
      </c>
      <c r="AG92" s="918" t="e">
        <f>SUM(AG78*(X12/X27)+AH78*(X19/X27)+AG81*(X14/X27)+AH81*(X21/X27)+AI78*(X26/X27))</f>
        <v>#DIV/0!</v>
      </c>
      <c r="AH92" s="918"/>
      <c r="AI92" s="918"/>
      <c r="AL92" s="169"/>
      <c r="AW92" s="355" t="s">
        <v>441</v>
      </c>
      <c r="AX92" s="918" t="e">
        <f>SUM(AX78*(AO12/AO27)+AY78*(AO19/AO27)+AX81*(AO14/AO27)+AY81*(AO21/AO27)+AZ78*(AO26/AO27))</f>
        <v>#DIV/0!</v>
      </c>
      <c r="AY92" s="918"/>
      <c r="AZ92" s="918"/>
      <c r="BM92" s="355" t="s">
        <v>441</v>
      </c>
      <c r="BN92" s="918" t="e">
        <f>SUM(BN78*(BE12/BE27)+BO78*(BE19/BE27)+BN81*(BE14/BE27)+BO81*(BE21/BE27)+BP78*(BE26/BE27))</f>
        <v>#DIV/0!</v>
      </c>
      <c r="BO92" s="918"/>
      <c r="BP92" s="918"/>
      <c r="CC92" s="355" t="s">
        <v>441</v>
      </c>
      <c r="CD92" s="918" t="e">
        <f>SUM(CD78*(BU12/BU27)+CE78*(BU19/BU27)+CD81*(BU14/BU27)+CE81*(BU21/BU27)+CF78*(BU26/BU27))</f>
        <v>#DIV/0!</v>
      </c>
      <c r="CE92" s="918"/>
      <c r="CF92" s="918"/>
      <c r="CS92" s="355" t="s">
        <v>441</v>
      </c>
      <c r="CT92" s="918" t="e">
        <f>SUM(CT78*(CK12/CK27)+CU78*(CK19/CK27)+CT81*(CK14/CK27)+CU81*(CK21/CK27)+CV78*(CK26/CK27))</f>
        <v>#DIV/0!</v>
      </c>
      <c r="CU92" s="918"/>
      <c r="CV92" s="918"/>
      <c r="DI92" s="355" t="s">
        <v>441</v>
      </c>
      <c r="DJ92" s="918" t="e">
        <f>SUM(DJ78*(DA12/DA27)+DK78*(DA19/DA27)+DJ81*(DA14/DA27)+DK81*(DA21/DA27)+DL78*(DA26/DA27))</f>
        <v>#DIV/0!</v>
      </c>
      <c r="DK92" s="918"/>
      <c r="DL92" s="918"/>
      <c r="DY92" s="355" t="s">
        <v>441</v>
      </c>
      <c r="DZ92" s="918" t="e">
        <f>SUM(DZ78*(DQ12/DQ27)+EA78*(DQ19/DQ27)+DZ81*(DQ14/DQ27)+EA81*(DQ21/DQ27)+EB78*(DQ26/DQ27))</f>
        <v>#DIV/0!</v>
      </c>
      <c r="EA92" s="918"/>
      <c r="EB92" s="918"/>
      <c r="EO92" s="355" t="s">
        <v>441</v>
      </c>
      <c r="EP92" s="918" t="e">
        <f>SUM(EP78*(EG12/EG27)+EQ78*(EG19/EG27)+EP81*(EG14/EG27)+EQ81*(EG21/EG27)+ER78*(EG26/EG27))</f>
        <v>#DIV/0!</v>
      </c>
      <c r="EQ92" s="918"/>
      <c r="ER92" s="918"/>
      <c r="FE92" s="355" t="s">
        <v>441</v>
      </c>
      <c r="FF92" s="918" t="e">
        <f>SUM(FF78*(EW12/EW27)+FG78*(EW19/EW27)+FF81*(EW14/EW27)+FG81*(EW21/EW27)+FH78*(EW26/EW27))</f>
        <v>#DIV/0!</v>
      </c>
      <c r="FG92" s="918"/>
      <c r="FH92" s="918"/>
      <c r="FU92" s="355" t="s">
        <v>441</v>
      </c>
      <c r="FV92" s="918" t="e">
        <f>SUM(FV78*(FM12/FM27)+FW78*(FM19/FM27)+FV81*(FM14/FM27)+FW81*(FM21/FM27)+FX78*(FM26/FM27))</f>
        <v>#DIV/0!</v>
      </c>
      <c r="FW92" s="918"/>
      <c r="FX92" s="918"/>
      <c r="GK92" s="355" t="s">
        <v>441</v>
      </c>
      <c r="GL92" s="918" t="e">
        <f>SUM(GL78*(GC12/GC27)+GM78*(GC19/GC27)+GL81*(GC14/GC27)+GM81*(GC21/GC27)+GN78*(GC26/GC27))</f>
        <v>#DIV/0!</v>
      </c>
      <c r="GM92" s="918"/>
      <c r="GN92" s="918"/>
      <c r="HA92" s="355" t="s">
        <v>441</v>
      </c>
      <c r="HB92" s="918" t="e">
        <f>SUM(HB78*(GS12/GS27)+HC78*(GS19/GS27)+HB81*(GS14/GS27)+HC81*(GS21/GS27)+HD78*(GS26/GS27))</f>
        <v>#DIV/0!</v>
      </c>
      <c r="HC92" s="918"/>
      <c r="HD92" s="918"/>
      <c r="HF92" s="172"/>
      <c r="HG92" s="172"/>
      <c r="HH92" s="17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168" customFormat="1" ht="12.75" x14ac:dyDescent="0.2">
      <c r="A93" s="869"/>
      <c r="B93" s="359"/>
      <c r="C93" s="360"/>
      <c r="D93" s="360"/>
      <c r="E93" s="360"/>
      <c r="F93"/>
      <c r="G93"/>
      <c r="H93"/>
      <c r="I93" s="166"/>
      <c r="J93" s="1"/>
      <c r="K93" s="357"/>
      <c r="L93" s="358" t="s">
        <v>441</v>
      </c>
      <c r="M93" s="919" t="e">
        <f>'Print A4'!L91</f>
        <v>#DIV/0!</v>
      </c>
      <c r="N93" s="919"/>
      <c r="O93" s="919"/>
      <c r="P93" s="919"/>
      <c r="Q93" s="912"/>
      <c r="R93" s="913"/>
      <c r="S93" s="167"/>
      <c r="AF93" s="361" t="s">
        <v>442</v>
      </c>
      <c r="AG93" s="249"/>
      <c r="AH93" s="213">
        <f>AB8</f>
        <v>32</v>
      </c>
      <c r="AI93" s="249"/>
      <c r="AL93" s="169"/>
      <c r="AW93" s="361" t="s">
        <v>442</v>
      </c>
      <c r="AX93" s="249"/>
      <c r="AY93" s="213">
        <f>AS8</f>
        <v>36</v>
      </c>
      <c r="AZ93" s="249"/>
      <c r="BM93" s="361" t="s">
        <v>442</v>
      </c>
      <c r="BN93" s="249"/>
      <c r="BO93" s="213">
        <f>BI8</f>
        <v>40</v>
      </c>
      <c r="BP93" s="249"/>
      <c r="CC93" s="361" t="s">
        <v>442</v>
      </c>
      <c r="CD93" s="249"/>
      <c r="CE93" s="213">
        <f>BY8</f>
        <v>44</v>
      </c>
      <c r="CF93" s="249"/>
      <c r="CS93" s="361" t="s">
        <v>442</v>
      </c>
      <c r="CT93" s="249"/>
      <c r="CU93" s="213">
        <f>CO8</f>
        <v>48</v>
      </c>
      <c r="CV93" s="249"/>
      <c r="DI93" s="361" t="s">
        <v>442</v>
      </c>
      <c r="DJ93" s="249"/>
      <c r="DK93" s="213">
        <f>DE8</f>
        <v>52</v>
      </c>
      <c r="DL93" s="249"/>
      <c r="DY93" s="361" t="s">
        <v>442</v>
      </c>
      <c r="DZ93" s="249"/>
      <c r="EA93" s="213">
        <f>DU8</f>
        <v>56</v>
      </c>
      <c r="EB93" s="249"/>
      <c r="EO93" s="361" t="s">
        <v>442</v>
      </c>
      <c r="EP93" s="249"/>
      <c r="EQ93" s="213">
        <f>EK8</f>
        <v>60</v>
      </c>
      <c r="ER93" s="249"/>
      <c r="FE93" s="361" t="s">
        <v>442</v>
      </c>
      <c r="FF93" s="249"/>
      <c r="FG93" s="213">
        <f>FA8</f>
        <v>64</v>
      </c>
      <c r="FH93" s="249"/>
      <c r="FU93" s="361" t="s">
        <v>442</v>
      </c>
      <c r="FV93" s="249"/>
      <c r="FW93" s="213">
        <f>FQ8</f>
        <v>68</v>
      </c>
      <c r="FX93" s="249"/>
      <c r="GK93" s="361" t="s">
        <v>442</v>
      </c>
      <c r="GL93" s="249"/>
      <c r="GM93" s="213">
        <f>GG8</f>
        <v>72</v>
      </c>
      <c r="GN93" s="249"/>
      <c r="HA93" s="361" t="s">
        <v>442</v>
      </c>
      <c r="HB93" s="249"/>
      <c r="HC93" s="213">
        <f>GW8</f>
        <v>76</v>
      </c>
      <c r="HD93" s="249"/>
      <c r="HF93" s="172"/>
      <c r="HG93" s="172"/>
      <c r="HH93" s="172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168" customFormat="1" ht="12.75" x14ac:dyDescent="0.2">
      <c r="A94" s="869"/>
      <c r="B94" s="359"/>
      <c r="C94" s="360"/>
      <c r="D94" s="360"/>
      <c r="E94" s="360"/>
      <c r="F94"/>
      <c r="G94"/>
      <c r="H94"/>
      <c r="I94" s="166"/>
      <c r="J94" s="1"/>
      <c r="K94" s="362"/>
      <c r="L94" s="363" t="s">
        <v>442</v>
      </c>
      <c r="M94" s="921">
        <f>'Print A4'!L92</f>
        <v>0</v>
      </c>
      <c r="N94" s="921"/>
      <c r="O94" s="921"/>
      <c r="P94" s="921"/>
      <c r="Q94" s="912"/>
      <c r="R94" s="913"/>
      <c r="S94" s="167"/>
      <c r="AF94" s="355" t="s">
        <v>443</v>
      </c>
      <c r="AG94" s="918" t="e">
        <f>SUM(AH93*AG90*1000)</f>
        <v>#DIV/0!</v>
      </c>
      <c r="AH94" s="918"/>
      <c r="AI94" s="918"/>
      <c r="AL94" s="169"/>
      <c r="AW94" s="355" t="s">
        <v>443</v>
      </c>
      <c r="AX94" s="918" t="e">
        <f>SUM(AY93*AX90*1000)</f>
        <v>#DIV/0!</v>
      </c>
      <c r="AY94" s="918"/>
      <c r="AZ94" s="918"/>
      <c r="BM94" s="355" t="s">
        <v>443</v>
      </c>
      <c r="BN94" s="918" t="e">
        <f>SUM(BO93*BN90*1000)</f>
        <v>#DIV/0!</v>
      </c>
      <c r="BO94" s="918"/>
      <c r="BP94" s="918"/>
      <c r="CC94" s="355" t="s">
        <v>443</v>
      </c>
      <c r="CD94" s="918" t="e">
        <f>SUM(CE93*CD90*1000)</f>
        <v>#DIV/0!</v>
      </c>
      <c r="CE94" s="918"/>
      <c r="CF94" s="918"/>
      <c r="CS94" s="355" t="s">
        <v>443</v>
      </c>
      <c r="CT94" s="918" t="e">
        <f>SUM(CU93*CT90*1000)</f>
        <v>#DIV/0!</v>
      </c>
      <c r="CU94" s="918"/>
      <c r="CV94" s="918"/>
      <c r="DI94" s="355" t="s">
        <v>443</v>
      </c>
      <c r="DJ94" s="918" t="e">
        <f>SUM(DK93*DJ90*1000)</f>
        <v>#DIV/0!</v>
      </c>
      <c r="DK94" s="918"/>
      <c r="DL94" s="918"/>
      <c r="DY94" s="355" t="s">
        <v>443</v>
      </c>
      <c r="DZ94" s="918" t="e">
        <f>SUM(EA93*DZ90*1000)</f>
        <v>#DIV/0!</v>
      </c>
      <c r="EA94" s="918"/>
      <c r="EB94" s="918"/>
      <c r="EO94" s="355" t="s">
        <v>443</v>
      </c>
      <c r="EP94" s="918" t="e">
        <f>SUM(EQ93*EP90*1000)</f>
        <v>#DIV/0!</v>
      </c>
      <c r="EQ94" s="918"/>
      <c r="ER94" s="918"/>
      <c r="FE94" s="355" t="s">
        <v>443</v>
      </c>
      <c r="FF94" s="918" t="e">
        <f>SUM(FG93*FF90*1000)</f>
        <v>#DIV/0!</v>
      </c>
      <c r="FG94" s="918"/>
      <c r="FH94" s="918"/>
      <c r="FU94" s="355" t="s">
        <v>443</v>
      </c>
      <c r="FV94" s="918" t="e">
        <f>SUM(FW93*FV90*1000)</f>
        <v>#DIV/0!</v>
      </c>
      <c r="FW94" s="918"/>
      <c r="FX94" s="918"/>
      <c r="GK94" s="355" t="s">
        <v>443</v>
      </c>
      <c r="GL94" s="918" t="e">
        <f>SUM(GM93*GL90*1000)</f>
        <v>#DIV/0!</v>
      </c>
      <c r="GM94" s="918"/>
      <c r="GN94" s="918"/>
      <c r="HA94" s="355" t="s">
        <v>443</v>
      </c>
      <c r="HB94" s="918" t="e">
        <f>SUM(HC93*HB90*1000)</f>
        <v>#DIV/0!</v>
      </c>
      <c r="HC94" s="918"/>
      <c r="HD94" s="918"/>
      <c r="HF94" s="172"/>
      <c r="HG94" s="172"/>
      <c r="HH94" s="172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68" customFormat="1" ht="12.75" x14ac:dyDescent="0.2">
      <c r="A95" s="869"/>
      <c r="B95" s="359"/>
      <c r="C95" s="360"/>
      <c r="D95" s="360"/>
      <c r="E95" s="360"/>
      <c r="F95"/>
      <c r="G95"/>
      <c r="H95"/>
      <c r="I95" s="166"/>
      <c r="J95" s="1"/>
      <c r="K95" s="357"/>
      <c r="L95" s="358" t="s">
        <v>443</v>
      </c>
      <c r="M95" s="919" t="e">
        <f>'Print A4'!L93</f>
        <v>#DIV/0!</v>
      </c>
      <c r="N95" s="919"/>
      <c r="O95" s="919"/>
      <c r="P95" s="919"/>
      <c r="Q95" s="912"/>
      <c r="R95" s="913"/>
      <c r="S95" s="167"/>
      <c r="AD95" s="364" t="s">
        <v>444</v>
      </c>
      <c r="AE95" s="249">
        <f>SUM(AF8/AB8/1000)</f>
        <v>0</v>
      </c>
      <c r="AF95" s="249" t="s">
        <v>378</v>
      </c>
      <c r="AG95" s="920" t="e">
        <f>SUM(AG92*X27)</f>
        <v>#DIV/0!</v>
      </c>
      <c r="AH95" s="920"/>
      <c r="AI95" s="920"/>
      <c r="AJ95" s="249"/>
      <c r="AK95" s="249"/>
      <c r="AL95" s="169"/>
      <c r="AU95" s="364" t="s">
        <v>444</v>
      </c>
      <c r="AV95" s="249">
        <f>SUM(AW8/AS8/1000)</f>
        <v>0</v>
      </c>
      <c r="AW95" s="249" t="s">
        <v>378</v>
      </c>
      <c r="AX95" s="920" t="e">
        <f>SUM(AX92*AO27)</f>
        <v>#DIV/0!</v>
      </c>
      <c r="AY95" s="920"/>
      <c r="AZ95" s="920"/>
      <c r="BA95" s="249"/>
      <c r="BK95" s="364" t="s">
        <v>444</v>
      </c>
      <c r="BL95" s="249">
        <f>SUM(BM8/BI8/1000)</f>
        <v>0</v>
      </c>
      <c r="BM95" s="249" t="s">
        <v>378</v>
      </c>
      <c r="BN95" s="920" t="e">
        <f>SUM(BN92*BE27)</f>
        <v>#DIV/0!</v>
      </c>
      <c r="BO95" s="920"/>
      <c r="BP95" s="920"/>
      <c r="CA95" s="364" t="s">
        <v>444</v>
      </c>
      <c r="CB95" s="249">
        <f>SUM(CC8/BY8/1000)</f>
        <v>0</v>
      </c>
      <c r="CC95" s="249" t="s">
        <v>378</v>
      </c>
      <c r="CD95" s="920" t="e">
        <f>SUM(CD92*BU27)</f>
        <v>#DIV/0!</v>
      </c>
      <c r="CE95" s="920"/>
      <c r="CF95" s="920"/>
      <c r="CQ95" s="364" t="s">
        <v>444</v>
      </c>
      <c r="CR95" s="249">
        <f>SUM(CS8/CO8/1000)</f>
        <v>0</v>
      </c>
      <c r="CS95" s="249" t="s">
        <v>378</v>
      </c>
      <c r="CT95" s="920" t="e">
        <f>SUM(CT92*CK27)</f>
        <v>#DIV/0!</v>
      </c>
      <c r="CU95" s="920"/>
      <c r="CV95" s="920"/>
      <c r="DG95" s="364" t="s">
        <v>444</v>
      </c>
      <c r="DH95" s="249">
        <f>SUM(DI8/DE8/1000)</f>
        <v>0</v>
      </c>
      <c r="DI95" s="249" t="s">
        <v>378</v>
      </c>
      <c r="DJ95" s="920" t="e">
        <f>SUM(DJ92*DA27)</f>
        <v>#DIV/0!</v>
      </c>
      <c r="DK95" s="920"/>
      <c r="DL95" s="920"/>
      <c r="DW95" s="364" t="s">
        <v>444</v>
      </c>
      <c r="DX95" s="249">
        <f>SUM(DY8/DU8/1000)</f>
        <v>0</v>
      </c>
      <c r="DY95" s="249" t="s">
        <v>378</v>
      </c>
      <c r="DZ95" s="920" t="e">
        <f>SUM(DZ92*DQ27)</f>
        <v>#DIV/0!</v>
      </c>
      <c r="EA95" s="920"/>
      <c r="EB95" s="920"/>
      <c r="EM95" s="364" t="s">
        <v>444</v>
      </c>
      <c r="EN95" s="249">
        <f>SUM(EO8/EK8/1000)</f>
        <v>0</v>
      </c>
      <c r="EO95" s="249" t="s">
        <v>378</v>
      </c>
      <c r="EP95" s="920" t="e">
        <f>SUM(EP92*EG27)</f>
        <v>#DIV/0!</v>
      </c>
      <c r="EQ95" s="920"/>
      <c r="ER95" s="920"/>
      <c r="FC95" s="364" t="s">
        <v>444</v>
      </c>
      <c r="FD95" s="249">
        <f>SUM(FE8/FA8/1000)</f>
        <v>0</v>
      </c>
      <c r="FE95" s="249" t="s">
        <v>378</v>
      </c>
      <c r="FF95" s="920" t="e">
        <f>SUM(FF92*EW27)</f>
        <v>#DIV/0!</v>
      </c>
      <c r="FG95" s="920"/>
      <c r="FH95" s="920"/>
      <c r="FS95" s="364" t="s">
        <v>444</v>
      </c>
      <c r="FT95" s="249">
        <f>SUM(FU8/FQ8/1000)</f>
        <v>0</v>
      </c>
      <c r="FU95" s="249" t="s">
        <v>378</v>
      </c>
      <c r="FV95" s="920" t="e">
        <f>SUM(FV92*FM27)</f>
        <v>#DIV/0!</v>
      </c>
      <c r="FW95" s="920"/>
      <c r="FX95" s="920"/>
      <c r="GI95" s="364" t="s">
        <v>444</v>
      </c>
      <c r="GJ95" s="249">
        <f>SUM(GK8/GG8/1000)</f>
        <v>0</v>
      </c>
      <c r="GK95" s="249" t="s">
        <v>378</v>
      </c>
      <c r="GL95" s="920" t="e">
        <f>SUM(GL92*GC27)</f>
        <v>#DIV/0!</v>
      </c>
      <c r="GM95" s="920"/>
      <c r="GN95" s="920"/>
      <c r="GY95" s="364" t="s">
        <v>444</v>
      </c>
      <c r="GZ95" s="249">
        <f>SUM(HA8/GW8/1000)</f>
        <v>0</v>
      </c>
      <c r="HA95" s="249" t="s">
        <v>378</v>
      </c>
      <c r="HB95" s="920" t="e">
        <f>SUM(HB92*GS27)</f>
        <v>#DIV/0!</v>
      </c>
      <c r="HC95" s="920"/>
      <c r="HD95" s="920"/>
      <c r="HF95" s="172"/>
      <c r="HG95" s="172"/>
      <c r="HH95" s="172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168" customFormat="1" ht="12.75" x14ac:dyDescent="0.2">
      <c r="A96" s="869"/>
      <c r="B96" s="359"/>
      <c r="C96" s="360"/>
      <c r="D96" s="360"/>
      <c r="E96" s="360"/>
      <c r="F96"/>
      <c r="G96"/>
      <c r="H96"/>
      <c r="I96" s="365" t="s">
        <v>445</v>
      </c>
      <c r="J96" s="366">
        <f>'Print A4'!I94</f>
        <v>0</v>
      </c>
      <c r="K96" s="366">
        <f>Data!D54</f>
        <v>0</v>
      </c>
      <c r="L96" t="s">
        <v>378</v>
      </c>
      <c r="M96" s="925" t="e">
        <f>'Print A4'!L94</f>
        <v>#DIV/0!</v>
      </c>
      <c r="N96" s="925"/>
      <c r="O96" s="925"/>
      <c r="P96" s="925"/>
      <c r="Q96" s="912"/>
      <c r="R96" s="913"/>
      <c r="S96" s="167"/>
      <c r="AA96" s="172"/>
      <c r="AB96" s="172"/>
      <c r="AC96" s="172"/>
      <c r="AD96" s="172"/>
      <c r="AE96" s="172"/>
      <c r="AF96" s="172"/>
      <c r="AG96" s="172"/>
      <c r="AH96" s="172"/>
      <c r="AI96" s="172"/>
      <c r="AJ96" s="249"/>
      <c r="AK96" s="249"/>
      <c r="AL96" s="169"/>
      <c r="BA96" s="249"/>
      <c r="HF96" s="172"/>
      <c r="HG96" s="172"/>
      <c r="HH96" s="172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168" customFormat="1" ht="24.6" customHeight="1" x14ac:dyDescent="0.2">
      <c r="A97" s="869"/>
      <c r="B97" s="922" t="s">
        <v>437</v>
      </c>
      <c r="C97" s="922"/>
      <c r="D97" s="922"/>
      <c r="E97" s="922"/>
      <c r="F97" s="922"/>
      <c r="G97" s="922"/>
      <c r="H97" s="922"/>
      <c r="I97" s="922"/>
      <c r="J97" s="922"/>
      <c r="K97" s="922"/>
      <c r="L97" s="922"/>
      <c r="M97" s="922"/>
      <c r="N97" s="922"/>
      <c r="O97" s="922"/>
      <c r="P97" s="922"/>
      <c r="Q97" s="912"/>
      <c r="R97" s="913"/>
      <c r="S97" s="167"/>
      <c r="AA97" s="172"/>
      <c r="AB97" s="172"/>
      <c r="AC97" s="172"/>
      <c r="AD97" s="172"/>
      <c r="AE97" s="172"/>
      <c r="AF97" s="172"/>
      <c r="AG97" s="172"/>
      <c r="AH97" s="172"/>
      <c r="AI97" s="172"/>
      <c r="AL97" s="169"/>
      <c r="HI97" s="162"/>
      <c r="HJ97" s="162"/>
      <c r="HK97" s="162"/>
      <c r="HL97" s="162"/>
      <c r="HM97" s="162"/>
      <c r="HN97" s="162"/>
      <c r="HO97" s="162"/>
      <c r="HP97" s="162"/>
      <c r="HQ97" s="162"/>
      <c r="HR97" s="162"/>
      <c r="HS97" s="162"/>
      <c r="HT97" s="162"/>
      <c r="HU97" s="162"/>
      <c r="HV97" s="162"/>
      <c r="HW97" s="162"/>
      <c r="HX97" s="162"/>
      <c r="HY97" s="162"/>
      <c r="HZ97" s="162"/>
      <c r="IA97" s="162"/>
      <c r="IB97" s="162"/>
      <c r="IC97" s="162"/>
      <c r="ID97" s="162"/>
      <c r="IE97" s="162"/>
      <c r="IF97" s="162"/>
      <c r="IG97" s="162"/>
      <c r="IH97" s="162"/>
      <c r="II97" s="162"/>
      <c r="IJ97" s="162"/>
      <c r="IK97" s="162"/>
      <c r="IL97" s="162"/>
      <c r="IM97" s="162"/>
      <c r="IN97" s="162"/>
      <c r="IO97" s="162"/>
      <c r="IP97" s="162"/>
      <c r="IQ97" s="162"/>
      <c r="IR97" s="162"/>
      <c r="IS97" s="162"/>
      <c r="IT97" s="162"/>
      <c r="IU97" s="162"/>
      <c r="IV97" s="162"/>
    </row>
    <row r="98" spans="1:256" s="168" customFormat="1" ht="12.75" x14ac:dyDescent="0.2">
      <c r="A98" s="869"/>
      <c r="B98" s="923"/>
      <c r="C98" s="923"/>
      <c r="D98" s="923"/>
      <c r="E98" s="923"/>
      <c r="F98" s="923"/>
      <c r="G98" s="923"/>
      <c r="H98" s="923"/>
      <c r="I98" s="923"/>
      <c r="J98" s="923"/>
      <c r="K98" s="923"/>
      <c r="L98" s="923"/>
      <c r="M98" s="923"/>
      <c r="N98" s="923"/>
      <c r="O98" s="923"/>
      <c r="P98" s="923"/>
      <c r="Q98" s="912"/>
      <c r="R98" s="913"/>
      <c r="S98" s="167"/>
      <c r="AE98" s="249"/>
      <c r="AL98" s="169"/>
      <c r="HI98" s="162"/>
      <c r="HJ98" s="162"/>
      <c r="HK98" s="162"/>
      <c r="HL98" s="162"/>
      <c r="HM98" s="162"/>
      <c r="HN98" s="162"/>
      <c r="HO98" s="162"/>
      <c r="HP98" s="162"/>
      <c r="HQ98" s="162"/>
      <c r="HR98" s="162"/>
      <c r="HS98" s="162"/>
      <c r="HT98" s="162"/>
      <c r="HU98" s="162"/>
      <c r="HV98" s="162"/>
      <c r="HW98" s="162"/>
      <c r="HX98" s="162"/>
      <c r="HY98" s="162"/>
      <c r="HZ98" s="162"/>
      <c r="IA98" s="162"/>
      <c r="IB98" s="162"/>
      <c r="IC98" s="162"/>
      <c r="ID98" s="162"/>
      <c r="IE98" s="162"/>
      <c r="IF98" s="162"/>
      <c r="IG98" s="162"/>
      <c r="IH98" s="162"/>
      <c r="II98" s="162"/>
      <c r="IJ98" s="162"/>
      <c r="IK98" s="162"/>
      <c r="IL98" s="162"/>
      <c r="IM98" s="162"/>
      <c r="IN98" s="162"/>
      <c r="IO98" s="162"/>
      <c r="IP98" s="162"/>
      <c r="IQ98" s="162"/>
      <c r="IR98" s="162"/>
      <c r="IS98" s="162"/>
      <c r="IT98" s="162"/>
      <c r="IU98" s="162"/>
      <c r="IV98" s="162"/>
    </row>
    <row r="99" spans="1:256" s="171" customFormat="1" x14ac:dyDescent="0.2">
      <c r="A99" s="869"/>
      <c r="B99" s="923"/>
      <c r="C99" s="923"/>
      <c r="D99" s="923"/>
      <c r="E99" s="923"/>
      <c r="F99" s="923"/>
      <c r="G99" s="923"/>
      <c r="H99" s="923"/>
      <c r="I99" s="923"/>
      <c r="J99" s="923"/>
      <c r="K99" s="923"/>
      <c r="L99" s="923"/>
      <c r="M99" s="923"/>
      <c r="N99" s="923"/>
      <c r="O99" s="923"/>
      <c r="P99" s="923"/>
      <c r="Q99" s="912"/>
      <c r="R99" s="913"/>
      <c r="S99" s="167"/>
      <c r="T99" s="168"/>
      <c r="U99" s="168"/>
      <c r="V99" s="168"/>
      <c r="W99" s="170" t="s">
        <v>373</v>
      </c>
      <c r="AK99" s="168"/>
      <c r="AL99" s="168"/>
      <c r="AM99" s="170" t="s">
        <v>373</v>
      </c>
      <c r="BA99" s="168"/>
      <c r="BB99" s="168"/>
      <c r="BC99" s="170" t="s">
        <v>373</v>
      </c>
      <c r="BQ99" s="168"/>
      <c r="BR99" s="168"/>
      <c r="BS99" s="170" t="s">
        <v>373</v>
      </c>
      <c r="CG99" s="168"/>
      <c r="CH99" s="168"/>
      <c r="CI99" s="170" t="s">
        <v>373</v>
      </c>
      <c r="CW99" s="168"/>
      <c r="CX99" s="168"/>
      <c r="CY99" s="170" t="s">
        <v>373</v>
      </c>
      <c r="DM99" s="168"/>
      <c r="DN99" s="168"/>
      <c r="DO99" s="170" t="s">
        <v>373</v>
      </c>
      <c r="EC99" s="168"/>
      <c r="ED99" s="168"/>
      <c r="EE99" s="170" t="s">
        <v>373</v>
      </c>
      <c r="ES99" s="168"/>
      <c r="ET99" s="168"/>
      <c r="EU99" s="170" t="s">
        <v>373</v>
      </c>
      <c r="FI99" s="168"/>
      <c r="FJ99" s="168"/>
      <c r="FK99" s="168"/>
      <c r="FL99" s="168"/>
      <c r="FM99" s="168"/>
      <c r="FN99" s="168"/>
      <c r="FO99" s="168"/>
      <c r="FP99" s="168"/>
      <c r="FQ99" s="168"/>
      <c r="FR99" s="168"/>
      <c r="FS99" s="168"/>
      <c r="FT99" s="168"/>
      <c r="FU99" s="168"/>
      <c r="FV99" s="168"/>
      <c r="FW99" s="168"/>
      <c r="FX99" s="168"/>
      <c r="FY99" s="168"/>
      <c r="FZ99" s="168"/>
      <c r="GA99" s="168"/>
      <c r="GB99" s="168"/>
      <c r="GC99" s="168"/>
      <c r="GD99" s="168"/>
      <c r="GE99" s="168"/>
      <c r="GF99" s="168"/>
      <c r="GG99" s="168"/>
      <c r="GH99" s="168"/>
      <c r="GI99" s="168"/>
      <c r="GJ99" s="168"/>
      <c r="GK99" s="168"/>
      <c r="GL99" s="168"/>
      <c r="GM99" s="168"/>
      <c r="GN99" s="168"/>
      <c r="GO99" s="168"/>
      <c r="GP99" s="168"/>
      <c r="GQ99" s="168"/>
      <c r="GR99" s="168"/>
      <c r="GS99" s="168"/>
      <c r="GT99" s="168"/>
      <c r="GU99" s="168"/>
      <c r="GV99" s="168"/>
      <c r="GW99" s="168"/>
      <c r="GX99" s="168"/>
      <c r="GY99" s="168"/>
      <c r="GZ99" s="168"/>
      <c r="HA99" s="168"/>
      <c r="HB99" s="168"/>
      <c r="HC99" s="168"/>
      <c r="HD99" s="168"/>
      <c r="HE99" s="168"/>
      <c r="HF99" s="168"/>
      <c r="HG99" s="168"/>
      <c r="HH99" s="168"/>
      <c r="HI99" s="162"/>
      <c r="HJ99" s="162"/>
      <c r="HK99" s="162"/>
      <c r="HL99" s="162"/>
      <c r="HM99" s="162"/>
      <c r="HN99" s="162"/>
      <c r="HO99" s="162"/>
      <c r="HP99" s="162"/>
      <c r="HQ99" s="162"/>
      <c r="HR99" s="162"/>
      <c r="HS99" s="162"/>
      <c r="HT99" s="162"/>
      <c r="HU99" s="162"/>
      <c r="HV99" s="162"/>
      <c r="HW99" s="162"/>
      <c r="HX99" s="162"/>
      <c r="HY99" s="162"/>
      <c r="HZ99" s="162"/>
      <c r="IA99" s="162"/>
      <c r="IB99" s="162"/>
      <c r="IC99" s="162"/>
      <c r="ID99" s="162"/>
      <c r="IE99" s="162"/>
      <c r="IF99" s="162"/>
      <c r="IG99" s="162"/>
      <c r="IH99" s="162"/>
      <c r="II99" s="162"/>
      <c r="IJ99" s="162"/>
      <c r="IK99" s="162"/>
      <c r="IL99" s="162"/>
      <c r="IM99" s="162"/>
      <c r="IN99" s="162"/>
      <c r="IO99" s="162"/>
      <c r="IP99" s="162"/>
      <c r="IQ99" s="162"/>
      <c r="IR99" s="162"/>
      <c r="IS99" s="162"/>
      <c r="IT99" s="162"/>
      <c r="IU99" s="162"/>
      <c r="IV99" s="162"/>
    </row>
    <row r="100" spans="1:256" s="171" customFormat="1" x14ac:dyDescent="0.2">
      <c r="A100" s="869"/>
      <c r="B100" s="923"/>
      <c r="C100" s="923"/>
      <c r="D100" s="923"/>
      <c r="E100" s="923"/>
      <c r="F100" s="923"/>
      <c r="G100" s="923"/>
      <c r="H100" s="923"/>
      <c r="I100" s="923"/>
      <c r="J100" s="923"/>
      <c r="K100" s="923"/>
      <c r="L100" s="923"/>
      <c r="M100" s="923"/>
      <c r="N100" s="923"/>
      <c r="O100" s="923"/>
      <c r="P100" s="923"/>
      <c r="Q100" s="912"/>
      <c r="R100" s="913"/>
      <c r="S100" s="167"/>
      <c r="T100" s="168"/>
      <c r="U100" s="168"/>
      <c r="V100" s="168"/>
      <c r="AK100" s="168"/>
      <c r="AL100" s="168"/>
      <c r="BA100" s="168"/>
      <c r="BB100" s="168"/>
      <c r="BQ100" s="168"/>
      <c r="BR100" s="168"/>
      <c r="CG100" s="168"/>
      <c r="CH100" s="168"/>
      <c r="CW100" s="168"/>
      <c r="CX100" s="168"/>
      <c r="DM100" s="168"/>
      <c r="DN100" s="168"/>
      <c r="EC100" s="168"/>
      <c r="ED100" s="168"/>
      <c r="ES100" s="168"/>
      <c r="ET100" s="168"/>
      <c r="FI100" s="168"/>
      <c r="FJ100" s="168"/>
      <c r="FK100" s="168"/>
      <c r="FL100" s="168"/>
      <c r="FM100" s="168"/>
      <c r="FN100" s="168"/>
      <c r="FO100" s="168"/>
      <c r="FP100" s="168"/>
      <c r="FQ100" s="168"/>
      <c r="FR100" s="168"/>
      <c r="FS100" s="168"/>
      <c r="FT100" s="168"/>
      <c r="FU100" s="168"/>
      <c r="FV100" s="168"/>
      <c r="FW100" s="168"/>
      <c r="FX100" s="168"/>
      <c r="FY100" s="168"/>
      <c r="FZ100" s="168"/>
      <c r="GA100" s="168"/>
      <c r="GB100" s="168"/>
      <c r="GC100" s="168"/>
      <c r="GD100" s="168"/>
      <c r="GE100" s="168"/>
      <c r="GF100" s="168"/>
      <c r="GG100" s="168"/>
      <c r="GH100" s="168"/>
      <c r="GI100" s="168"/>
      <c r="GJ100" s="168"/>
      <c r="GK100" s="168"/>
      <c r="GL100" s="168"/>
      <c r="GM100" s="168"/>
      <c r="GN100" s="168"/>
      <c r="GO100" s="168"/>
      <c r="GP100" s="168"/>
      <c r="GQ100" s="168"/>
      <c r="GR100" s="168"/>
      <c r="GS100" s="168"/>
      <c r="GT100" s="168"/>
      <c r="GU100" s="168"/>
      <c r="GV100" s="168"/>
      <c r="GW100" s="168"/>
      <c r="GX100" s="168"/>
      <c r="GY100" s="168"/>
      <c r="GZ100" s="168"/>
      <c r="HA100" s="168"/>
      <c r="HB100" s="168"/>
      <c r="HC100" s="168"/>
      <c r="HD100" s="168"/>
      <c r="HE100" s="168"/>
      <c r="HF100" s="168"/>
      <c r="HG100" s="168"/>
      <c r="HH100" s="168"/>
      <c r="HI100" s="162"/>
      <c r="HJ100" s="162"/>
      <c r="HK100" s="162"/>
      <c r="HL100" s="162"/>
      <c r="HM100" s="162"/>
      <c r="HN100" s="162"/>
      <c r="HO100" s="162"/>
      <c r="HP100" s="162"/>
      <c r="HQ100" s="162"/>
      <c r="HR100" s="162"/>
      <c r="HS100" s="162"/>
      <c r="HT100" s="162"/>
      <c r="HU100" s="162"/>
      <c r="HV100" s="162"/>
      <c r="HW100" s="162"/>
      <c r="HX100" s="162"/>
      <c r="HY100" s="162"/>
      <c r="HZ100" s="162"/>
      <c r="IA100" s="162"/>
      <c r="IB100" s="162"/>
      <c r="IC100" s="162"/>
      <c r="ID100" s="162"/>
      <c r="IE100" s="162"/>
      <c r="IF100" s="162"/>
      <c r="IG100" s="162"/>
      <c r="IH100" s="162"/>
      <c r="II100" s="162"/>
      <c r="IJ100" s="162"/>
      <c r="IK100" s="162"/>
      <c r="IL100" s="162"/>
      <c r="IM100" s="162"/>
      <c r="IN100" s="162"/>
      <c r="IO100" s="162"/>
      <c r="IP100" s="162"/>
      <c r="IQ100" s="162"/>
      <c r="IR100" s="162"/>
      <c r="IS100" s="162"/>
      <c r="IT100" s="162"/>
      <c r="IU100" s="162"/>
      <c r="IV100" s="162"/>
    </row>
    <row r="101" spans="1:256" s="168" customFormat="1" x14ac:dyDescent="0.2">
      <c r="A101" s="869"/>
      <c r="B101" s="923"/>
      <c r="C101" s="923"/>
      <c r="D101" s="923"/>
      <c r="E101" s="923"/>
      <c r="F101" s="923"/>
      <c r="G101" s="923"/>
      <c r="H101" s="923"/>
      <c r="I101" s="923"/>
      <c r="J101" s="923"/>
      <c r="K101" s="923"/>
      <c r="L101" s="923"/>
      <c r="M101" s="923"/>
      <c r="N101" s="923"/>
      <c r="O101" s="923"/>
      <c r="P101" s="923"/>
      <c r="Q101" s="912"/>
      <c r="R101" s="913"/>
      <c r="S101" s="167"/>
      <c r="W101" s="186"/>
      <c r="X101" s="187"/>
      <c r="Y101" s="187"/>
      <c r="Z101" s="187"/>
      <c r="AA101" s="188" t="s">
        <v>59</v>
      </c>
      <c r="AB101" s="189"/>
      <c r="AC101" s="188" t="s">
        <v>374</v>
      </c>
      <c r="AD101" s="187"/>
      <c r="AE101" s="190"/>
      <c r="AF101" s="191"/>
      <c r="AG101" s="192"/>
      <c r="AH101" s="193"/>
      <c r="AI101" s="193"/>
      <c r="AJ101" s="194"/>
      <c r="AM101" s="186"/>
      <c r="AN101" s="187"/>
      <c r="AO101" s="187"/>
      <c r="AP101" s="187"/>
      <c r="AQ101" s="188" t="s">
        <v>59</v>
      </c>
      <c r="AR101" s="189"/>
      <c r="AS101" s="188" t="s">
        <v>374</v>
      </c>
      <c r="AT101" s="187"/>
      <c r="AU101" s="190"/>
      <c r="AV101" s="191"/>
      <c r="AW101" s="192"/>
      <c r="AX101" s="193"/>
      <c r="AY101" s="193"/>
      <c r="AZ101" s="194"/>
      <c r="BC101" s="186"/>
      <c r="BD101" s="187"/>
      <c r="BE101" s="187"/>
      <c r="BF101" s="187"/>
      <c r="BG101" s="188" t="s">
        <v>59</v>
      </c>
      <c r="BH101" s="189"/>
      <c r="BI101" s="188" t="s">
        <v>374</v>
      </c>
      <c r="BJ101" s="187"/>
      <c r="BK101" s="190"/>
      <c r="BL101" s="191"/>
      <c r="BM101" s="192"/>
      <c r="BN101" s="193"/>
      <c r="BO101" s="193"/>
      <c r="BP101" s="194"/>
      <c r="BS101" s="186"/>
      <c r="BT101" s="187"/>
      <c r="BU101" s="187"/>
      <c r="BV101" s="187"/>
      <c r="BW101" s="188" t="s">
        <v>59</v>
      </c>
      <c r="BX101" s="189"/>
      <c r="BY101" s="188" t="s">
        <v>374</v>
      </c>
      <c r="BZ101" s="187"/>
      <c r="CA101" s="190"/>
      <c r="CB101" s="191"/>
      <c r="CC101" s="192"/>
      <c r="CD101" s="193"/>
      <c r="CE101" s="193"/>
      <c r="CF101" s="194"/>
      <c r="CI101" s="186"/>
      <c r="CJ101" s="187"/>
      <c r="CK101" s="187"/>
      <c r="CL101" s="187"/>
      <c r="CM101" s="188" t="s">
        <v>59</v>
      </c>
      <c r="CN101" s="189"/>
      <c r="CO101" s="188" t="s">
        <v>374</v>
      </c>
      <c r="CP101" s="187"/>
      <c r="CQ101" s="190"/>
      <c r="CR101" s="191"/>
      <c r="CS101" s="192"/>
      <c r="CT101" s="193"/>
      <c r="CU101" s="193"/>
      <c r="CV101" s="194"/>
      <c r="CY101" s="186"/>
      <c r="CZ101" s="187"/>
      <c r="DA101" s="187"/>
      <c r="DB101" s="187"/>
      <c r="DC101" s="188" t="s">
        <v>59</v>
      </c>
      <c r="DD101" s="189"/>
      <c r="DE101" s="188" t="s">
        <v>374</v>
      </c>
      <c r="DF101" s="187"/>
      <c r="DG101" s="190"/>
      <c r="DH101" s="191"/>
      <c r="DI101" s="192"/>
      <c r="DJ101" s="193"/>
      <c r="DK101" s="193"/>
      <c r="DL101" s="194"/>
      <c r="DO101" s="186"/>
      <c r="DP101" s="187"/>
      <c r="DQ101" s="187"/>
      <c r="DR101" s="187"/>
      <c r="DS101" s="188" t="s">
        <v>59</v>
      </c>
      <c r="DT101" s="189"/>
      <c r="DU101" s="188" t="s">
        <v>374</v>
      </c>
      <c r="DV101" s="187"/>
      <c r="DW101" s="190"/>
      <c r="DX101" s="191"/>
      <c r="DY101" s="192"/>
      <c r="DZ101" s="193"/>
      <c r="EA101" s="193"/>
      <c r="EB101" s="194"/>
      <c r="EE101" s="186"/>
      <c r="EF101" s="187"/>
      <c r="EG101" s="187"/>
      <c r="EH101" s="187"/>
      <c r="EI101" s="188" t="s">
        <v>59</v>
      </c>
      <c r="EJ101" s="189"/>
      <c r="EK101" s="188" t="s">
        <v>374</v>
      </c>
      <c r="EL101" s="187"/>
      <c r="EM101" s="190"/>
      <c r="EN101" s="191"/>
      <c r="EO101" s="192"/>
      <c r="EP101" s="193"/>
      <c r="EQ101" s="193"/>
      <c r="ER101" s="194"/>
      <c r="EU101" s="186"/>
      <c r="EV101" s="187"/>
      <c r="EW101" s="187"/>
      <c r="EX101" s="187"/>
      <c r="EY101" s="188" t="s">
        <v>59</v>
      </c>
      <c r="EZ101" s="189"/>
      <c r="FA101" s="188" t="s">
        <v>374</v>
      </c>
      <c r="FB101" s="187"/>
      <c r="FC101" s="190"/>
      <c r="FD101" s="191"/>
      <c r="FE101" s="192"/>
      <c r="FF101" s="193"/>
      <c r="FG101" s="193"/>
      <c r="FH101" s="194"/>
      <c r="HI101" s="162"/>
      <c r="HJ101" s="162"/>
      <c r="HK101" s="162"/>
      <c r="HL101" s="162"/>
      <c r="HM101" s="162"/>
      <c r="HN101" s="162"/>
      <c r="HO101" s="162"/>
      <c r="HP101" s="162"/>
      <c r="HQ101" s="162"/>
      <c r="HR101" s="162"/>
      <c r="HS101" s="162"/>
      <c r="HT101" s="162"/>
      <c r="HU101" s="162"/>
      <c r="HV101" s="162"/>
      <c r="HW101" s="162"/>
      <c r="HX101" s="162"/>
      <c r="HY101" s="162"/>
      <c r="HZ101" s="162"/>
      <c r="IA101" s="162"/>
      <c r="IB101" s="162"/>
      <c r="IC101" s="162"/>
      <c r="ID101" s="162"/>
      <c r="IE101" s="162"/>
      <c r="IF101" s="162"/>
      <c r="IG101" s="162"/>
      <c r="IH101" s="162"/>
      <c r="II101" s="162"/>
      <c r="IJ101" s="162"/>
      <c r="IK101" s="162"/>
      <c r="IL101" s="162"/>
      <c r="IM101" s="162"/>
      <c r="IN101" s="162"/>
      <c r="IO101" s="162"/>
      <c r="IP101" s="162"/>
      <c r="IQ101" s="162"/>
      <c r="IR101" s="162"/>
      <c r="IS101" s="162"/>
      <c r="IT101" s="162"/>
      <c r="IU101" s="162"/>
      <c r="IV101" s="162"/>
    </row>
    <row r="102" spans="1:256" s="168" customFormat="1" x14ac:dyDescent="0.2">
      <c r="A102" s="869"/>
      <c r="B102" s="923"/>
      <c r="C102" s="923"/>
      <c r="D102" s="923"/>
      <c r="E102" s="923"/>
      <c r="F102" s="923"/>
      <c r="G102" s="923"/>
      <c r="H102" s="923"/>
      <c r="I102" s="923"/>
      <c r="J102" s="923"/>
      <c r="K102" s="923"/>
      <c r="L102" s="923"/>
      <c r="M102" s="923"/>
      <c r="N102" s="923"/>
      <c r="O102" s="923"/>
      <c r="P102" s="923"/>
      <c r="Q102" s="912"/>
      <c r="R102" s="913"/>
      <c r="S102" s="167"/>
      <c r="W102" s="198" t="s">
        <v>375</v>
      </c>
      <c r="AA102" s="199" t="s">
        <v>376</v>
      </c>
      <c r="AB102" s="200"/>
      <c r="AC102" s="199" t="s">
        <v>376</v>
      </c>
      <c r="AE102" s="201"/>
      <c r="AF102" s="191"/>
      <c r="AG102" s="192"/>
      <c r="AH102" s="193"/>
      <c r="AI102" s="193"/>
      <c r="AJ102" s="194"/>
      <c r="AM102" s="198" t="s">
        <v>375</v>
      </c>
      <c r="AQ102" s="199" t="s">
        <v>376</v>
      </c>
      <c r="AR102" s="200"/>
      <c r="AS102" s="199" t="s">
        <v>376</v>
      </c>
      <c r="AU102" s="201"/>
      <c r="AV102" s="191"/>
      <c r="AW102" s="192"/>
      <c r="AX102" s="193"/>
      <c r="AY102" s="193"/>
      <c r="AZ102" s="194"/>
      <c r="BC102" s="198" t="s">
        <v>375</v>
      </c>
      <c r="BG102" s="199" t="s">
        <v>376</v>
      </c>
      <c r="BH102" s="200"/>
      <c r="BI102" s="199" t="s">
        <v>376</v>
      </c>
      <c r="BK102" s="201"/>
      <c r="BL102" s="191"/>
      <c r="BM102" s="192"/>
      <c r="BN102" s="193"/>
      <c r="BO102" s="193"/>
      <c r="BP102" s="194"/>
      <c r="BS102" s="198" t="s">
        <v>375</v>
      </c>
      <c r="BW102" s="199" t="s">
        <v>376</v>
      </c>
      <c r="BX102" s="200"/>
      <c r="BY102" s="199" t="s">
        <v>376</v>
      </c>
      <c r="CA102" s="201"/>
      <c r="CB102" s="191"/>
      <c r="CC102" s="192"/>
      <c r="CD102" s="193"/>
      <c r="CE102" s="193"/>
      <c r="CF102" s="194"/>
      <c r="CI102" s="198" t="s">
        <v>375</v>
      </c>
      <c r="CM102" s="199" t="s">
        <v>376</v>
      </c>
      <c r="CN102" s="200"/>
      <c r="CO102" s="199" t="s">
        <v>376</v>
      </c>
      <c r="CQ102" s="201"/>
      <c r="CR102" s="191"/>
      <c r="CS102" s="192"/>
      <c r="CT102" s="193"/>
      <c r="CU102" s="193"/>
      <c r="CV102" s="194"/>
      <c r="CY102" s="198" t="s">
        <v>375</v>
      </c>
      <c r="DC102" s="199" t="s">
        <v>376</v>
      </c>
      <c r="DD102" s="200"/>
      <c r="DE102" s="199" t="s">
        <v>376</v>
      </c>
      <c r="DG102" s="201"/>
      <c r="DH102" s="191"/>
      <c r="DI102" s="192"/>
      <c r="DJ102" s="193"/>
      <c r="DK102" s="193"/>
      <c r="DL102" s="194"/>
      <c r="DO102" s="198" t="s">
        <v>375</v>
      </c>
      <c r="DS102" s="199" t="s">
        <v>376</v>
      </c>
      <c r="DT102" s="200"/>
      <c r="DU102" s="199" t="s">
        <v>376</v>
      </c>
      <c r="DW102" s="201"/>
      <c r="DX102" s="191"/>
      <c r="DY102" s="192"/>
      <c r="DZ102" s="193"/>
      <c r="EA102" s="193"/>
      <c r="EB102" s="194"/>
      <c r="EE102" s="198" t="s">
        <v>375</v>
      </c>
      <c r="EI102" s="199" t="s">
        <v>376</v>
      </c>
      <c r="EJ102" s="200"/>
      <c r="EK102" s="199" t="s">
        <v>376</v>
      </c>
      <c r="EM102" s="201"/>
      <c r="EN102" s="191"/>
      <c r="EO102" s="192"/>
      <c r="EP102" s="193"/>
      <c r="EQ102" s="193"/>
      <c r="ER102" s="194"/>
      <c r="EU102" s="198" t="s">
        <v>375</v>
      </c>
      <c r="EY102" s="199" t="s">
        <v>376</v>
      </c>
      <c r="EZ102" s="200"/>
      <c r="FA102" s="199" t="s">
        <v>376</v>
      </c>
      <c r="FC102" s="201"/>
      <c r="FD102" s="191"/>
      <c r="FE102" s="192"/>
      <c r="FF102" s="193"/>
      <c r="FG102" s="193"/>
      <c r="FH102" s="194"/>
      <c r="HI102" s="162"/>
      <c r="HJ102" s="162"/>
      <c r="HK102" s="162"/>
      <c r="HL102" s="162"/>
      <c r="HM102" s="162"/>
      <c r="HN102" s="162"/>
      <c r="HO102" s="162"/>
      <c r="HP102" s="162"/>
      <c r="HQ102" s="162"/>
      <c r="HR102" s="162"/>
      <c r="HS102" s="162"/>
      <c r="HT102" s="162"/>
      <c r="HU102" s="162"/>
      <c r="HV102" s="162"/>
      <c r="HW102" s="162"/>
      <c r="HX102" s="162"/>
      <c r="HY102" s="162"/>
      <c r="HZ102" s="162"/>
      <c r="IA102" s="162"/>
      <c r="IB102" s="162"/>
      <c r="IC102" s="162"/>
      <c r="ID102" s="162"/>
      <c r="IE102" s="162"/>
      <c r="IF102" s="162"/>
      <c r="IG102" s="162"/>
      <c r="IH102" s="162"/>
      <c r="II102" s="162"/>
      <c r="IJ102" s="162"/>
      <c r="IK102" s="162"/>
      <c r="IL102" s="162"/>
      <c r="IM102" s="162"/>
      <c r="IN102" s="162"/>
      <c r="IO102" s="162"/>
      <c r="IP102" s="162"/>
      <c r="IQ102" s="162"/>
      <c r="IR102" s="162"/>
      <c r="IS102" s="162"/>
      <c r="IT102" s="162"/>
      <c r="IU102" s="162"/>
      <c r="IV102" s="162"/>
    </row>
    <row r="103" spans="1:256" s="168" customFormat="1" x14ac:dyDescent="0.2">
      <c r="A103" s="869"/>
      <c r="B103" s="923"/>
      <c r="C103" s="923"/>
      <c r="D103" s="923"/>
      <c r="E103" s="923"/>
      <c r="F103" s="923"/>
      <c r="G103" s="923"/>
      <c r="H103" s="923"/>
      <c r="I103" s="923"/>
      <c r="J103" s="923"/>
      <c r="K103" s="923"/>
      <c r="L103" s="923"/>
      <c r="M103" s="923"/>
      <c r="N103" s="923"/>
      <c r="O103" s="923"/>
      <c r="P103" s="923"/>
      <c r="Q103" s="912"/>
      <c r="R103" s="913"/>
      <c r="S103" s="167"/>
      <c r="W103" s="206" t="s">
        <v>377</v>
      </c>
      <c r="AA103" s="207">
        <f>IF($F5=0,0,($F5/$H5)*AC103)</f>
        <v>0</v>
      </c>
      <c r="AB103" s="208" t="s">
        <v>378</v>
      </c>
      <c r="AC103" s="199">
        <f>SUM(GW5+Graphs!$L$4)</f>
        <v>500</v>
      </c>
      <c r="AD103" s="168" t="s">
        <v>378</v>
      </c>
      <c r="AE103" s="209" t="s">
        <v>377</v>
      </c>
      <c r="AF103" s="191">
        <f>SUM(AC103*Y116)/1000</f>
        <v>40</v>
      </c>
      <c r="AG103" s="192">
        <f>SUM(AF103*AD183)*1000</f>
        <v>0</v>
      </c>
      <c r="AH103" s="193"/>
      <c r="AI103" s="193"/>
      <c r="AJ103" s="194"/>
      <c r="AM103" s="206" t="s">
        <v>377</v>
      </c>
      <c r="AQ103" s="207">
        <f>IF($F5=0,0,($F5/$H5)*AS103)</f>
        <v>0</v>
      </c>
      <c r="AR103" s="208" t="s">
        <v>378</v>
      </c>
      <c r="AS103" s="199">
        <f>SUM(AC103+Graphs!$L$4)</f>
        <v>525</v>
      </c>
      <c r="AT103" s="168" t="s">
        <v>378</v>
      </c>
      <c r="AU103" s="209" t="s">
        <v>377</v>
      </c>
      <c r="AV103" s="191">
        <f>SUM(AS103*AO116)/1000</f>
        <v>42</v>
      </c>
      <c r="AW103" s="192">
        <f>SUM(AV103*AT183)*1000</f>
        <v>0</v>
      </c>
      <c r="AX103" s="193"/>
      <c r="AY103" s="193"/>
      <c r="AZ103" s="194"/>
      <c r="BC103" s="206" t="s">
        <v>377</v>
      </c>
      <c r="BG103" s="207">
        <f>IF($F5=0,0,($F5/$H5)*BI103)</f>
        <v>0</v>
      </c>
      <c r="BH103" s="208" t="s">
        <v>378</v>
      </c>
      <c r="BI103" s="199">
        <f>SUM(AS103+Graphs!$L$4)</f>
        <v>550</v>
      </c>
      <c r="BJ103" s="168" t="s">
        <v>378</v>
      </c>
      <c r="BK103" s="209" t="s">
        <v>377</v>
      </c>
      <c r="BL103" s="191">
        <f>SUM(BI103*BE116)/1000</f>
        <v>44</v>
      </c>
      <c r="BM103" s="192">
        <f>SUM(BL103*BJ183)*1000</f>
        <v>0</v>
      </c>
      <c r="BN103" s="193"/>
      <c r="BO103" s="193"/>
      <c r="BP103" s="194"/>
      <c r="BS103" s="206" t="s">
        <v>377</v>
      </c>
      <c r="BW103" s="207">
        <f>IF($F5=0,0,($F5/$H5)*BY103)</f>
        <v>0</v>
      </c>
      <c r="BX103" s="208" t="s">
        <v>378</v>
      </c>
      <c r="BY103" s="199">
        <f>SUM(BI103+Graphs!$L$4)</f>
        <v>575</v>
      </c>
      <c r="BZ103" s="168" t="s">
        <v>378</v>
      </c>
      <c r="CA103" s="209" t="s">
        <v>377</v>
      </c>
      <c r="CB103" s="191">
        <f>SUM(BY103*BU116)/1000</f>
        <v>46</v>
      </c>
      <c r="CC103" s="192">
        <f>SUM(CB103*BZ183)*1000</f>
        <v>0</v>
      </c>
      <c r="CD103" s="193"/>
      <c r="CE103" s="193"/>
      <c r="CF103" s="194"/>
      <c r="CI103" s="206" t="s">
        <v>377</v>
      </c>
      <c r="CM103" s="207">
        <f>IF($F5=0,0,($F5/$H5)*CO103)</f>
        <v>0</v>
      </c>
      <c r="CN103" s="208" t="s">
        <v>378</v>
      </c>
      <c r="CO103" s="199">
        <f>SUM(BY103+Graphs!$L$4)</f>
        <v>600</v>
      </c>
      <c r="CP103" s="168" t="s">
        <v>378</v>
      </c>
      <c r="CQ103" s="209" t="s">
        <v>377</v>
      </c>
      <c r="CR103" s="191">
        <f>SUM(CO103*CK116)/1000</f>
        <v>48</v>
      </c>
      <c r="CS103" s="192">
        <f>SUM(CR103*CP183)*1000</f>
        <v>0</v>
      </c>
      <c r="CT103" s="193"/>
      <c r="CU103" s="193"/>
      <c r="CV103" s="194"/>
      <c r="CY103" s="206" t="s">
        <v>377</v>
      </c>
      <c r="DC103" s="207">
        <f>IF($F5=0,0,($F5/$H5)*DE103)</f>
        <v>0</v>
      </c>
      <c r="DD103" s="208" t="s">
        <v>378</v>
      </c>
      <c r="DE103" s="199">
        <f>SUM(CO103+Graphs!$L$4)</f>
        <v>625</v>
      </c>
      <c r="DF103" s="168" t="s">
        <v>378</v>
      </c>
      <c r="DG103" s="209" t="s">
        <v>377</v>
      </c>
      <c r="DH103" s="191">
        <f>SUM(DE103*DA116)/1000</f>
        <v>50</v>
      </c>
      <c r="DI103" s="192">
        <f>SUM(DH103*DF183)*1000</f>
        <v>0</v>
      </c>
      <c r="DJ103" s="193"/>
      <c r="DK103" s="193"/>
      <c r="DL103" s="194"/>
      <c r="DO103" s="206" t="s">
        <v>377</v>
      </c>
      <c r="DS103" s="207">
        <f>IF($F5=0,0,($F5/$H5)*DU103)</f>
        <v>0</v>
      </c>
      <c r="DT103" s="208" t="s">
        <v>378</v>
      </c>
      <c r="DU103" s="199">
        <f>SUM(DE103+Graphs!$L$4)</f>
        <v>650</v>
      </c>
      <c r="DV103" s="168" t="s">
        <v>378</v>
      </c>
      <c r="DW103" s="209" t="s">
        <v>377</v>
      </c>
      <c r="DX103" s="191">
        <f>SUM(DU103*DQ116)/1000</f>
        <v>52</v>
      </c>
      <c r="DY103" s="192">
        <f>SUM(DX103*DV183)*1000</f>
        <v>0</v>
      </c>
      <c r="DZ103" s="193"/>
      <c r="EA103" s="193"/>
      <c r="EB103" s="194"/>
      <c r="EE103" s="206" t="s">
        <v>377</v>
      </c>
      <c r="EI103" s="207">
        <f>IF($F5=0,0,($F5/$H5)*EK103)</f>
        <v>0</v>
      </c>
      <c r="EJ103" s="208" t="s">
        <v>378</v>
      </c>
      <c r="EK103" s="199">
        <f>SUM(DU103+Graphs!$L$4)</f>
        <v>675</v>
      </c>
      <c r="EL103" s="168" t="s">
        <v>378</v>
      </c>
      <c r="EM103" s="209" t="s">
        <v>377</v>
      </c>
      <c r="EN103" s="191">
        <f>SUM(EK103*EG116)/1000</f>
        <v>54</v>
      </c>
      <c r="EO103" s="192">
        <f>SUM(EN103*EL183)*1000</f>
        <v>0</v>
      </c>
      <c r="EP103" s="193"/>
      <c r="EQ103" s="193"/>
      <c r="ER103" s="194"/>
      <c r="EU103" s="206" t="s">
        <v>377</v>
      </c>
      <c r="EY103" s="207">
        <f>IF($F5=0,0,($F5/$H5)*FA103)</f>
        <v>0</v>
      </c>
      <c r="EZ103" s="208" t="s">
        <v>378</v>
      </c>
      <c r="FA103" s="199">
        <f>SUM(EK103+Graphs!$L$4)</f>
        <v>700</v>
      </c>
      <c r="FB103" s="168" t="s">
        <v>378</v>
      </c>
      <c r="FC103" s="209" t="s">
        <v>377</v>
      </c>
      <c r="FD103" s="191">
        <f>SUM(FA103*EW116)/1000</f>
        <v>56</v>
      </c>
      <c r="FE103" s="192">
        <f>SUM(FD103*FB183)*1000</f>
        <v>0</v>
      </c>
      <c r="FF103" s="193"/>
      <c r="FG103" s="193"/>
      <c r="FH103" s="194"/>
      <c r="HI103" s="162"/>
      <c r="HJ103" s="162"/>
      <c r="HK103" s="162"/>
      <c r="HL103" s="162"/>
      <c r="HM103" s="162"/>
      <c r="HN103" s="162"/>
      <c r="HO103" s="162"/>
      <c r="HP103" s="162"/>
      <c r="HQ103" s="162"/>
      <c r="HR103" s="162"/>
      <c r="HS103" s="162"/>
      <c r="HT103" s="162"/>
      <c r="HU103" s="162"/>
      <c r="HV103" s="162"/>
      <c r="HW103" s="162"/>
      <c r="HX103" s="162"/>
      <c r="HY103" s="162"/>
      <c r="HZ103" s="162"/>
      <c r="IA103" s="162"/>
      <c r="IB103" s="162"/>
      <c r="IC103" s="162"/>
      <c r="ID103" s="162"/>
      <c r="IE103" s="162"/>
      <c r="IF103" s="162"/>
      <c r="IG103" s="162"/>
      <c r="IH103" s="162"/>
      <c r="II103" s="162"/>
      <c r="IJ103" s="162"/>
      <c r="IK103" s="162"/>
      <c r="IL103" s="162"/>
      <c r="IM103" s="162"/>
      <c r="IN103" s="162"/>
      <c r="IO103" s="162"/>
      <c r="IP103" s="162"/>
      <c r="IQ103" s="162"/>
      <c r="IR103" s="162"/>
      <c r="IS103" s="162"/>
      <c r="IT103" s="162"/>
      <c r="IU103" s="162"/>
      <c r="IV103" s="162"/>
    </row>
    <row r="104" spans="1:256" s="168" customFormat="1" x14ac:dyDescent="0.2">
      <c r="A104" s="869"/>
      <c r="B104" s="923"/>
      <c r="C104" s="923"/>
      <c r="D104" s="923"/>
      <c r="E104" s="923"/>
      <c r="F104" s="923"/>
      <c r="G104" s="923"/>
      <c r="H104" s="923"/>
      <c r="I104" s="923"/>
      <c r="J104" s="923"/>
      <c r="K104" s="923"/>
      <c r="L104" s="923"/>
      <c r="M104" s="923"/>
      <c r="N104" s="923"/>
      <c r="O104" s="923"/>
      <c r="P104" s="923"/>
      <c r="Q104" s="912"/>
      <c r="R104" s="913"/>
      <c r="S104" s="167"/>
      <c r="W104" s="206" t="s">
        <v>379</v>
      </c>
      <c r="AA104" s="207">
        <f>IF($F6=0,0,($F6/$H6)*AC104)</f>
        <v>0</v>
      </c>
      <c r="AB104" s="208" t="s">
        <v>378</v>
      </c>
      <c r="AC104" s="199">
        <f>SUM(GW6+Graphs!$AB$5)</f>
        <v>500</v>
      </c>
      <c r="AD104" s="168" t="s">
        <v>378</v>
      </c>
      <c r="AE104" s="209" t="s">
        <v>379</v>
      </c>
      <c r="AF104" s="191">
        <f>SUM(AC104*Y122/1000)</f>
        <v>40</v>
      </c>
      <c r="AG104" s="210">
        <f>SUM(AF104*AD185)*1000</f>
        <v>0</v>
      </c>
      <c r="AH104" s="193"/>
      <c r="AI104" s="193"/>
      <c r="AJ104" s="194"/>
      <c r="AM104" s="206" t="s">
        <v>379</v>
      </c>
      <c r="AQ104" s="207">
        <f>IF($F6=0,0,($F6/$H6)*AS104)</f>
        <v>0</v>
      </c>
      <c r="AR104" s="208" t="s">
        <v>378</v>
      </c>
      <c r="AS104" s="199">
        <f>SUM(AC104+Graphs!$AB$5)</f>
        <v>525</v>
      </c>
      <c r="AT104" s="168" t="s">
        <v>378</v>
      </c>
      <c r="AU104" s="209" t="s">
        <v>379</v>
      </c>
      <c r="AV104" s="191">
        <f>SUM(AS104*AO122/1000)</f>
        <v>42</v>
      </c>
      <c r="AW104" s="210">
        <f>SUM(AV104*AT185)*1000</f>
        <v>0</v>
      </c>
      <c r="AX104" s="193"/>
      <c r="AY104" s="193"/>
      <c r="AZ104" s="194"/>
      <c r="BC104" s="206" t="s">
        <v>379</v>
      </c>
      <c r="BG104" s="207">
        <f>IF($F6=0,0,($F6/$H6)*BI104)</f>
        <v>0</v>
      </c>
      <c r="BH104" s="208" t="s">
        <v>378</v>
      </c>
      <c r="BI104" s="199">
        <f>SUM(AS104+Graphs!$AB$5)</f>
        <v>550</v>
      </c>
      <c r="BJ104" s="168" t="s">
        <v>378</v>
      </c>
      <c r="BK104" s="209" t="s">
        <v>379</v>
      </c>
      <c r="BL104" s="191">
        <f>SUM(BI104*BE122/1000)</f>
        <v>44</v>
      </c>
      <c r="BM104" s="210">
        <f>SUM(BL104*BJ185)*1000</f>
        <v>0</v>
      </c>
      <c r="BN104" s="193"/>
      <c r="BO104" s="193"/>
      <c r="BP104" s="194"/>
      <c r="BS104" s="206" t="s">
        <v>379</v>
      </c>
      <c r="BW104" s="207">
        <f>IF($F6=0,0,($F6/$H6)*BY104)</f>
        <v>0</v>
      </c>
      <c r="BX104" s="208" t="s">
        <v>378</v>
      </c>
      <c r="BY104" s="199">
        <f>SUM(BI104+Graphs!$AB$5)</f>
        <v>575</v>
      </c>
      <c r="BZ104" s="168" t="s">
        <v>378</v>
      </c>
      <c r="CA104" s="209" t="s">
        <v>379</v>
      </c>
      <c r="CB104" s="191">
        <f>SUM(BY104*BU122/1000)</f>
        <v>46</v>
      </c>
      <c r="CC104" s="210">
        <f>SUM(CB104*BZ185)*1000</f>
        <v>0</v>
      </c>
      <c r="CD104" s="193"/>
      <c r="CE104" s="193"/>
      <c r="CF104" s="194"/>
      <c r="CI104" s="206" t="s">
        <v>379</v>
      </c>
      <c r="CM104" s="207">
        <f>IF($F6=0,0,($F6/$H6)*CO104)</f>
        <v>0</v>
      </c>
      <c r="CN104" s="208" t="s">
        <v>378</v>
      </c>
      <c r="CO104" s="199">
        <f>SUM(BY104+Graphs!$AB$5)</f>
        <v>600</v>
      </c>
      <c r="CP104" s="168" t="s">
        <v>378</v>
      </c>
      <c r="CQ104" s="209" t="s">
        <v>379</v>
      </c>
      <c r="CR104" s="191">
        <f>SUM(CO104*CK122/1000)</f>
        <v>48</v>
      </c>
      <c r="CS104" s="210">
        <f>SUM(CR104*CP185)*1000</f>
        <v>0</v>
      </c>
      <c r="CT104" s="193"/>
      <c r="CU104" s="193"/>
      <c r="CV104" s="194"/>
      <c r="CY104" s="206" t="s">
        <v>379</v>
      </c>
      <c r="DC104" s="207">
        <f>IF($F6=0,0,($F6/$H6)*DE104)</f>
        <v>0</v>
      </c>
      <c r="DD104" s="208" t="s">
        <v>378</v>
      </c>
      <c r="DE104" s="199">
        <f>SUM(CO104+Graphs!$AB$5)</f>
        <v>625</v>
      </c>
      <c r="DF104" s="168" t="s">
        <v>378</v>
      </c>
      <c r="DG104" s="209" t="s">
        <v>379</v>
      </c>
      <c r="DH104" s="191">
        <f>SUM(DE104*DA122/1000)</f>
        <v>50</v>
      </c>
      <c r="DI104" s="210">
        <f>SUM(DH104*DF185)*1000</f>
        <v>0</v>
      </c>
      <c r="DJ104" s="193"/>
      <c r="DK104" s="193"/>
      <c r="DL104" s="194"/>
      <c r="DO104" s="206" t="s">
        <v>379</v>
      </c>
      <c r="DS104" s="207">
        <f>IF($F6=0,0,($F6/$H6)*DU104)</f>
        <v>0</v>
      </c>
      <c r="DT104" s="208" t="s">
        <v>378</v>
      </c>
      <c r="DU104" s="199">
        <f>SUM(DE104+Graphs!$AB$5)</f>
        <v>650</v>
      </c>
      <c r="DV104" s="168" t="s">
        <v>378</v>
      </c>
      <c r="DW104" s="209" t="s">
        <v>379</v>
      </c>
      <c r="DX104" s="191">
        <f>SUM(DU104*DQ122/1000)</f>
        <v>52</v>
      </c>
      <c r="DY104" s="210">
        <f>SUM(DX104*DV185)*1000</f>
        <v>0</v>
      </c>
      <c r="DZ104" s="193"/>
      <c r="EA104" s="193"/>
      <c r="EB104" s="194"/>
      <c r="EE104" s="206" t="s">
        <v>379</v>
      </c>
      <c r="EI104" s="207">
        <f>IF($F6=0,0,($F6/$H6)*EK104)</f>
        <v>0</v>
      </c>
      <c r="EJ104" s="208" t="s">
        <v>378</v>
      </c>
      <c r="EK104" s="199">
        <f>SUM(DU104+Graphs!$AB$5)</f>
        <v>675</v>
      </c>
      <c r="EL104" s="168" t="s">
        <v>378</v>
      </c>
      <c r="EM104" s="209" t="s">
        <v>379</v>
      </c>
      <c r="EN104" s="191">
        <f>SUM(EK104*EG122/1000)</f>
        <v>54</v>
      </c>
      <c r="EO104" s="210">
        <f>SUM(EN104*EL185)*1000</f>
        <v>0</v>
      </c>
      <c r="EP104" s="193"/>
      <c r="EQ104" s="193"/>
      <c r="ER104" s="194"/>
      <c r="EU104" s="206" t="s">
        <v>379</v>
      </c>
      <c r="EY104" s="207">
        <f>IF($F6=0,0,($F6/$H6)*FA104)</f>
        <v>0</v>
      </c>
      <c r="EZ104" s="208" t="s">
        <v>378</v>
      </c>
      <c r="FA104" s="199">
        <f>SUM(EK104+Graphs!$AB$5)</f>
        <v>700</v>
      </c>
      <c r="FB104" s="168" t="s">
        <v>378</v>
      </c>
      <c r="FC104" s="209" t="s">
        <v>379</v>
      </c>
      <c r="FD104" s="191">
        <f>SUM(FA104*EW122/1000)</f>
        <v>56</v>
      </c>
      <c r="FE104" s="210">
        <f>SUM(FD104*FB185)*1000</f>
        <v>0</v>
      </c>
      <c r="FF104" s="193"/>
      <c r="FG104" s="193"/>
      <c r="FH104" s="194"/>
      <c r="HI104" s="162"/>
      <c r="HJ104" s="162"/>
      <c r="HK104" s="162"/>
      <c r="HL104" s="162"/>
      <c r="HM104" s="162"/>
      <c r="HN104" s="162"/>
      <c r="HO104" s="162"/>
      <c r="HP104" s="162"/>
      <c r="HQ104" s="162"/>
      <c r="HR104" s="162"/>
      <c r="HS104" s="162"/>
      <c r="HT104" s="162"/>
      <c r="HU104" s="162"/>
      <c r="HV104" s="162"/>
      <c r="HW104" s="162"/>
      <c r="HX104" s="162"/>
      <c r="HY104" s="162"/>
      <c r="HZ104" s="162"/>
      <c r="IA104" s="162"/>
      <c r="IB104" s="162"/>
      <c r="IC104" s="162"/>
      <c r="ID104" s="162"/>
      <c r="IE104" s="162"/>
      <c r="IF104" s="162"/>
      <c r="IG104" s="162"/>
      <c r="IH104" s="162"/>
      <c r="II104" s="162"/>
      <c r="IJ104" s="162"/>
      <c r="IK104" s="162"/>
      <c r="IL104" s="162"/>
      <c r="IM104" s="162"/>
      <c r="IN104" s="162"/>
      <c r="IO104" s="162"/>
      <c r="IP104" s="162"/>
      <c r="IQ104" s="162"/>
      <c r="IR104" s="162"/>
      <c r="IS104" s="162"/>
      <c r="IT104" s="162"/>
      <c r="IU104" s="162"/>
      <c r="IV104" s="162"/>
    </row>
    <row r="105" spans="1:256" s="168" customFormat="1" ht="12.75" x14ac:dyDescent="0.2">
      <c r="A105" s="869"/>
      <c r="B105" s="923"/>
      <c r="C105" s="923"/>
      <c r="D105" s="923"/>
      <c r="E105" s="923"/>
      <c r="F105" s="923"/>
      <c r="G105" s="923"/>
      <c r="H105" s="923"/>
      <c r="I105" s="923"/>
      <c r="J105" s="923"/>
      <c r="K105" s="923"/>
      <c r="L105" s="923"/>
      <c r="M105" s="923"/>
      <c r="N105" s="923"/>
      <c r="O105" s="923"/>
      <c r="P105" s="923"/>
      <c r="Q105" s="912"/>
      <c r="R105" s="913"/>
      <c r="S105" s="167"/>
      <c r="W105" s="206" t="s">
        <v>380</v>
      </c>
      <c r="AA105" s="207">
        <f>IF($F7=0,0,($F7/$H7)*AC105)</f>
        <v>0</v>
      </c>
      <c r="AB105" s="208" t="s">
        <v>378</v>
      </c>
      <c r="AC105" s="199">
        <f>SUM(GW7+Graphs!$AB$6)</f>
        <v>500</v>
      </c>
      <c r="AD105" s="168" t="s">
        <v>378</v>
      </c>
      <c r="AE105" s="209" t="s">
        <v>380</v>
      </c>
      <c r="AF105" s="213">
        <f>SUM(AC105*Y124/1000)</f>
        <v>0</v>
      </c>
      <c r="AG105" s="210">
        <f>SUM(AF105*AD187)*1000</f>
        <v>0</v>
      </c>
      <c r="AH105" s="193"/>
      <c r="AI105" s="193"/>
      <c r="AJ105" s="194"/>
      <c r="AM105" s="206" t="s">
        <v>380</v>
      </c>
      <c r="AQ105" s="207">
        <f>IF($F7=0,0,($F7/$H7)*AS105)</f>
        <v>0</v>
      </c>
      <c r="AR105" s="208" t="s">
        <v>378</v>
      </c>
      <c r="AS105" s="199">
        <f>SUM(AC105+Graphs!$AB$6)</f>
        <v>525</v>
      </c>
      <c r="AT105" s="168" t="s">
        <v>378</v>
      </c>
      <c r="AU105" s="209" t="s">
        <v>380</v>
      </c>
      <c r="AV105" s="213">
        <f>SUM(AS105*AO124/1000)</f>
        <v>0</v>
      </c>
      <c r="AW105" s="210">
        <f>SUM(AV105*AT187)*1000</f>
        <v>0</v>
      </c>
      <c r="AX105" s="193"/>
      <c r="AY105" s="193"/>
      <c r="AZ105" s="194"/>
      <c r="BC105" s="206" t="s">
        <v>380</v>
      </c>
      <c r="BG105" s="207">
        <f>IF($F7=0,0,($F7/$H7)*BI105)</f>
        <v>0</v>
      </c>
      <c r="BH105" s="208" t="s">
        <v>378</v>
      </c>
      <c r="BI105" s="199">
        <f>SUM(AS105+Graphs!$AB$6)</f>
        <v>550</v>
      </c>
      <c r="BJ105" s="168" t="s">
        <v>378</v>
      </c>
      <c r="BK105" s="209" t="s">
        <v>380</v>
      </c>
      <c r="BL105" s="213">
        <f>SUM(BI105*BE124/1000)</f>
        <v>0</v>
      </c>
      <c r="BM105" s="210">
        <f>SUM(BL105*BJ187)*1000</f>
        <v>0</v>
      </c>
      <c r="BN105" s="193"/>
      <c r="BO105" s="193"/>
      <c r="BP105" s="194"/>
      <c r="BS105" s="206" t="s">
        <v>380</v>
      </c>
      <c r="BW105" s="207">
        <f>IF($F7=0,0,($F7/$H7)*BY105)</f>
        <v>0</v>
      </c>
      <c r="BX105" s="208" t="s">
        <v>378</v>
      </c>
      <c r="BY105" s="199">
        <f>SUM(BI105+Graphs!$AB$6)</f>
        <v>575</v>
      </c>
      <c r="BZ105" s="168" t="s">
        <v>378</v>
      </c>
      <c r="CA105" s="209" t="s">
        <v>380</v>
      </c>
      <c r="CB105" s="213">
        <f>SUM(BY105*BU124/1000)</f>
        <v>0</v>
      </c>
      <c r="CC105" s="210">
        <f>SUM(CB105*BZ187)*1000</f>
        <v>0</v>
      </c>
      <c r="CD105" s="193"/>
      <c r="CE105" s="193"/>
      <c r="CF105" s="194"/>
      <c r="CI105" s="206" t="s">
        <v>380</v>
      </c>
      <c r="CM105" s="207">
        <f>IF($F7=0,0,($F7/$H7)*CO105)</f>
        <v>0</v>
      </c>
      <c r="CN105" s="208" t="s">
        <v>378</v>
      </c>
      <c r="CO105" s="199">
        <f>SUM(BY105+Graphs!$AB$6)</f>
        <v>600</v>
      </c>
      <c r="CP105" s="168" t="s">
        <v>378</v>
      </c>
      <c r="CQ105" s="209" t="s">
        <v>380</v>
      </c>
      <c r="CR105" s="213">
        <f>SUM(CO105*CK124/1000)</f>
        <v>0</v>
      </c>
      <c r="CS105" s="210">
        <f>SUM(CR105*CP187)*1000</f>
        <v>0</v>
      </c>
      <c r="CT105" s="193"/>
      <c r="CU105" s="193"/>
      <c r="CV105" s="194"/>
      <c r="CY105" s="206" t="s">
        <v>380</v>
      </c>
      <c r="DC105" s="207">
        <f>IF($F7=0,0,($F7/$H7)*DE105)</f>
        <v>0</v>
      </c>
      <c r="DD105" s="208" t="s">
        <v>378</v>
      </c>
      <c r="DE105" s="199">
        <f>SUM(CO105+Graphs!$AB$6)</f>
        <v>625</v>
      </c>
      <c r="DF105" s="168" t="s">
        <v>378</v>
      </c>
      <c r="DG105" s="209" t="s">
        <v>380</v>
      </c>
      <c r="DH105" s="213">
        <f>SUM(DE105*DA124/1000)</f>
        <v>0</v>
      </c>
      <c r="DI105" s="210">
        <f>SUM(DH105*DF187)*1000</f>
        <v>0</v>
      </c>
      <c r="DJ105" s="193"/>
      <c r="DK105" s="193"/>
      <c r="DL105" s="194"/>
      <c r="DO105" s="206" t="s">
        <v>380</v>
      </c>
      <c r="DS105" s="207">
        <f>IF($F7=0,0,($F7/$H7)*DU105)</f>
        <v>0</v>
      </c>
      <c r="DT105" s="208" t="s">
        <v>378</v>
      </c>
      <c r="DU105" s="199">
        <f>SUM(DE105+Graphs!$AB$6)</f>
        <v>650</v>
      </c>
      <c r="DV105" s="168" t="s">
        <v>378</v>
      </c>
      <c r="DW105" s="209" t="s">
        <v>380</v>
      </c>
      <c r="DX105" s="213">
        <f>SUM(DU105*DQ124/1000)</f>
        <v>0</v>
      </c>
      <c r="DY105" s="210">
        <f>SUM(DX105*DV187)*1000</f>
        <v>0</v>
      </c>
      <c r="DZ105" s="193"/>
      <c r="EA105" s="193"/>
      <c r="EB105" s="194"/>
      <c r="EE105" s="206" t="s">
        <v>380</v>
      </c>
      <c r="EI105" s="207">
        <f>IF($F7=0,0,($F7/$H7)*EK105)</f>
        <v>0</v>
      </c>
      <c r="EJ105" s="208" t="s">
        <v>378</v>
      </c>
      <c r="EK105" s="199">
        <f>SUM(DU105+Graphs!$AB$6)</f>
        <v>675</v>
      </c>
      <c r="EL105" s="168" t="s">
        <v>378</v>
      </c>
      <c r="EM105" s="209" t="s">
        <v>380</v>
      </c>
      <c r="EN105" s="213">
        <f>SUM(EK105*EG124/1000)</f>
        <v>0</v>
      </c>
      <c r="EO105" s="210">
        <f>SUM(EN105*EL187)*1000</f>
        <v>0</v>
      </c>
      <c r="EP105" s="193"/>
      <c r="EQ105" s="193"/>
      <c r="ER105" s="194"/>
      <c r="EU105" s="206" t="s">
        <v>380</v>
      </c>
      <c r="EY105" s="207">
        <f>IF($F7=0,0,($F7/$H7)*FA105)</f>
        <v>0</v>
      </c>
      <c r="EZ105" s="208" t="s">
        <v>378</v>
      </c>
      <c r="FA105" s="199">
        <f>SUM(EK105+Graphs!$AB$6)</f>
        <v>700</v>
      </c>
      <c r="FB105" s="168" t="s">
        <v>378</v>
      </c>
      <c r="FC105" s="209" t="s">
        <v>380</v>
      </c>
      <c r="FD105" s="213">
        <f>SUM(FA105*EW124/1000)</f>
        <v>0</v>
      </c>
      <c r="FE105" s="210">
        <f>SUM(FD105*FB187)*1000</f>
        <v>0</v>
      </c>
      <c r="FF105" s="193"/>
      <c r="FG105" s="193"/>
      <c r="FH105" s="194"/>
      <c r="HI105" s="162"/>
      <c r="HJ105" s="162"/>
      <c r="HK105" s="162"/>
      <c r="HL105" s="162"/>
      <c r="HM105" s="162"/>
      <c r="HN105" s="162"/>
      <c r="HO105" s="162"/>
      <c r="HP105" s="162"/>
      <c r="HQ105" s="162"/>
      <c r="HR105" s="162"/>
      <c r="HS105" s="162"/>
      <c r="HT105" s="162"/>
      <c r="HU105" s="162"/>
      <c r="HV105" s="162"/>
      <c r="HW105" s="162"/>
      <c r="HX105" s="162"/>
      <c r="HY105" s="162"/>
      <c r="HZ105" s="162"/>
      <c r="IA105" s="162"/>
      <c r="IB105" s="162"/>
      <c r="IC105" s="162"/>
      <c r="ID105" s="162"/>
      <c r="IE105" s="162"/>
      <c r="IF105" s="162"/>
      <c r="IG105" s="162"/>
      <c r="IH105" s="162"/>
      <c r="II105" s="162"/>
      <c r="IJ105" s="162"/>
      <c r="IK105" s="162"/>
      <c r="IL105" s="162"/>
      <c r="IM105" s="162"/>
      <c r="IN105" s="162"/>
      <c r="IO105" s="162"/>
      <c r="IP105" s="162"/>
      <c r="IQ105" s="162"/>
      <c r="IR105" s="162"/>
      <c r="IS105" s="162"/>
      <c r="IT105" s="162"/>
      <c r="IU105" s="162"/>
      <c r="IV105" s="162"/>
    </row>
    <row r="106" spans="1:256" s="168" customFormat="1" x14ac:dyDescent="0.2">
      <c r="A106" s="869"/>
      <c r="B106" s="923"/>
      <c r="C106" s="923"/>
      <c r="D106" s="923"/>
      <c r="E106" s="923"/>
      <c r="F106" s="923"/>
      <c r="G106" s="923"/>
      <c r="H106" s="923"/>
      <c r="I106" s="923"/>
      <c r="J106" s="923"/>
      <c r="K106" s="923"/>
      <c r="L106" s="923"/>
      <c r="M106" s="923"/>
      <c r="N106" s="923"/>
      <c r="O106" s="923"/>
      <c r="P106" s="923"/>
      <c r="Q106" s="912"/>
      <c r="R106" s="913"/>
      <c r="S106" s="167"/>
      <c r="W106" s="214" t="s">
        <v>383</v>
      </c>
      <c r="X106" s="215"/>
      <c r="Y106" s="215"/>
      <c r="Z106" s="215"/>
      <c r="AA106" s="216">
        <f>SUM((AA103*Y116)+(AA104*Y122)+(AA105*Y124))/1000</f>
        <v>0</v>
      </c>
      <c r="AB106" s="217" t="s">
        <v>384</v>
      </c>
      <c r="AC106" s="216">
        <f>SUM((AC103*Y116)+(AC104*Y122)+(AC105*Y124))/1000</f>
        <v>80</v>
      </c>
      <c r="AD106" s="215" t="s">
        <v>384</v>
      </c>
      <c r="AE106" s="218"/>
      <c r="AF106" s="191"/>
      <c r="AG106" s="192">
        <f>SUM(AG103:AG105)</f>
        <v>0</v>
      </c>
      <c r="AH106" s="193"/>
      <c r="AI106" s="193"/>
      <c r="AJ106" s="194"/>
      <c r="AM106" s="214" t="s">
        <v>383</v>
      </c>
      <c r="AN106" s="215"/>
      <c r="AO106" s="215"/>
      <c r="AP106" s="215"/>
      <c r="AQ106" s="216">
        <f>SUM((AQ103*AO116)+(AQ104*AO122)+(AQ105*AO124))/1000</f>
        <v>0</v>
      </c>
      <c r="AR106" s="217" t="s">
        <v>384</v>
      </c>
      <c r="AS106" s="216">
        <f>SUM((AS103*AO116)+(AS104*AO122)+(AS105*AO124))/1000</f>
        <v>84</v>
      </c>
      <c r="AT106" s="215" t="s">
        <v>384</v>
      </c>
      <c r="AU106" s="218"/>
      <c r="AV106" s="191"/>
      <c r="AW106" s="192">
        <f>SUM(AW103:AW105)</f>
        <v>0</v>
      </c>
      <c r="AX106" s="193"/>
      <c r="AY106" s="193"/>
      <c r="AZ106" s="194"/>
      <c r="BC106" s="214" t="s">
        <v>383</v>
      </c>
      <c r="BD106" s="215"/>
      <c r="BE106" s="215"/>
      <c r="BF106" s="215"/>
      <c r="BG106" s="216">
        <f>SUM((BG103*BE116)+(BG104*BE122)+(BG105*BE124))/1000</f>
        <v>0</v>
      </c>
      <c r="BH106" s="217" t="s">
        <v>384</v>
      </c>
      <c r="BI106" s="216">
        <f>SUM((BI103*BE116)+(BI104*BE122)+(BI105*BE124))/1000</f>
        <v>88</v>
      </c>
      <c r="BJ106" s="215" t="s">
        <v>384</v>
      </c>
      <c r="BK106" s="218"/>
      <c r="BL106" s="191"/>
      <c r="BM106" s="192">
        <f>SUM(BM103:BM105)</f>
        <v>0</v>
      </c>
      <c r="BN106" s="193"/>
      <c r="BO106" s="193"/>
      <c r="BP106" s="194"/>
      <c r="BS106" s="214" t="s">
        <v>383</v>
      </c>
      <c r="BT106" s="215"/>
      <c r="BU106" s="215"/>
      <c r="BV106" s="215"/>
      <c r="BW106" s="216">
        <f>SUM((BW103*BU116)+(BW104*BU122)+(BW105*BU124))/1000</f>
        <v>0</v>
      </c>
      <c r="BX106" s="217" t="s">
        <v>384</v>
      </c>
      <c r="BY106" s="216">
        <f>SUM((BY103*BU116)+(BY104*BU122)+(BY105*BU124))/1000</f>
        <v>92</v>
      </c>
      <c r="BZ106" s="215" t="s">
        <v>384</v>
      </c>
      <c r="CA106" s="218"/>
      <c r="CB106" s="191"/>
      <c r="CC106" s="192">
        <f>SUM(CC103:CC105)</f>
        <v>0</v>
      </c>
      <c r="CD106" s="193"/>
      <c r="CE106" s="193"/>
      <c r="CF106" s="194"/>
      <c r="CI106" s="214" t="s">
        <v>383</v>
      </c>
      <c r="CJ106" s="215"/>
      <c r="CK106" s="215"/>
      <c r="CL106" s="215"/>
      <c r="CM106" s="216">
        <f>SUM((CM103*CK116)+(CM104*CK122)+(CM105*CK124))/1000</f>
        <v>0</v>
      </c>
      <c r="CN106" s="217" t="s">
        <v>384</v>
      </c>
      <c r="CO106" s="216">
        <f>SUM((CO103*CK116)+(CO104*CK122)+(CO105*CK124))/1000</f>
        <v>96</v>
      </c>
      <c r="CP106" s="215" t="s">
        <v>384</v>
      </c>
      <c r="CQ106" s="218"/>
      <c r="CR106" s="191"/>
      <c r="CS106" s="192">
        <f>SUM(CS103:CS105)</f>
        <v>0</v>
      </c>
      <c r="CT106" s="193"/>
      <c r="CU106" s="193"/>
      <c r="CV106" s="194"/>
      <c r="CY106" s="214" t="s">
        <v>383</v>
      </c>
      <c r="CZ106" s="215"/>
      <c r="DA106" s="215"/>
      <c r="DB106" s="215"/>
      <c r="DC106" s="216">
        <f>SUM((DC103*DA116)+(DC104*DA122)+(DC105*DA124))/1000</f>
        <v>0</v>
      </c>
      <c r="DD106" s="217" t="s">
        <v>384</v>
      </c>
      <c r="DE106" s="216">
        <f>SUM((DE103*DA116)+(DE104*DA122)+(DE105*DA124))/1000</f>
        <v>100</v>
      </c>
      <c r="DF106" s="215" t="s">
        <v>384</v>
      </c>
      <c r="DG106" s="218"/>
      <c r="DH106" s="191"/>
      <c r="DI106" s="192">
        <f>SUM(DI103:DI105)</f>
        <v>0</v>
      </c>
      <c r="DJ106" s="193"/>
      <c r="DK106" s="193"/>
      <c r="DL106" s="194"/>
      <c r="DO106" s="214" t="s">
        <v>383</v>
      </c>
      <c r="DP106" s="215"/>
      <c r="DQ106" s="215"/>
      <c r="DR106" s="215"/>
      <c r="DS106" s="216">
        <f>SUM((DS103*DQ116)+(DS104*DQ122)+(DS105*DQ124))/1000</f>
        <v>0</v>
      </c>
      <c r="DT106" s="217" t="s">
        <v>384</v>
      </c>
      <c r="DU106" s="216">
        <f>SUM((DU103*DQ116)+(DU104*DQ122)+(DU105*DQ124))/1000</f>
        <v>104</v>
      </c>
      <c r="DV106" s="215" t="s">
        <v>384</v>
      </c>
      <c r="DW106" s="218"/>
      <c r="DX106" s="191"/>
      <c r="DY106" s="192">
        <f>SUM(DY103:DY105)</f>
        <v>0</v>
      </c>
      <c r="DZ106" s="193"/>
      <c r="EA106" s="193"/>
      <c r="EB106" s="194"/>
      <c r="EE106" s="214" t="s">
        <v>383</v>
      </c>
      <c r="EF106" s="215"/>
      <c r="EG106" s="215"/>
      <c r="EH106" s="215"/>
      <c r="EI106" s="216">
        <f>SUM((EI103*EG116)+(EI104*EG122)+(EI105*EG124))/1000</f>
        <v>0</v>
      </c>
      <c r="EJ106" s="217" t="s">
        <v>384</v>
      </c>
      <c r="EK106" s="216">
        <f>SUM((EK103*EG116)+(EK104*EG122)+(EK105*EG124))/1000</f>
        <v>108</v>
      </c>
      <c r="EL106" s="215" t="s">
        <v>384</v>
      </c>
      <c r="EM106" s="218"/>
      <c r="EN106" s="191"/>
      <c r="EO106" s="192">
        <f>SUM(EO103:EO105)</f>
        <v>0</v>
      </c>
      <c r="EP106" s="193"/>
      <c r="EQ106" s="193"/>
      <c r="ER106" s="194"/>
      <c r="EU106" s="214" t="s">
        <v>383</v>
      </c>
      <c r="EV106" s="215"/>
      <c r="EW106" s="215"/>
      <c r="EX106" s="215"/>
      <c r="EY106" s="216">
        <f>SUM((EY103*EW116)+(EY104*EW122)+(EY105*EW124))/1000</f>
        <v>0</v>
      </c>
      <c r="EZ106" s="217" t="s">
        <v>384</v>
      </c>
      <c r="FA106" s="216">
        <f>SUM((FA103*EW116)+(FA104*EW122)+(FA105*EW124))/1000</f>
        <v>112</v>
      </c>
      <c r="FB106" s="215" t="s">
        <v>384</v>
      </c>
      <c r="FC106" s="218"/>
      <c r="FD106" s="191"/>
      <c r="FE106" s="192">
        <f>SUM(FE103:FE105)</f>
        <v>0</v>
      </c>
      <c r="FF106" s="193"/>
      <c r="FG106" s="193"/>
      <c r="FH106" s="194"/>
      <c r="HI106" s="162"/>
      <c r="HJ106" s="162"/>
      <c r="HK106" s="162"/>
      <c r="HL106" s="162"/>
      <c r="HM106" s="162"/>
      <c r="HN106" s="162"/>
      <c r="HO106" s="162"/>
      <c r="HP106" s="162"/>
      <c r="HQ106" s="162"/>
      <c r="HR106" s="162"/>
      <c r="HS106" s="162"/>
      <c r="HT106" s="162"/>
      <c r="HU106" s="162"/>
      <c r="HV106" s="162"/>
      <c r="HW106" s="162"/>
      <c r="HX106" s="162"/>
      <c r="HY106" s="162"/>
      <c r="HZ106" s="162"/>
      <c r="IA106" s="162"/>
      <c r="IB106" s="162"/>
      <c r="IC106" s="162"/>
      <c r="ID106" s="162"/>
      <c r="IE106" s="162"/>
      <c r="IF106" s="162"/>
      <c r="IG106" s="162"/>
      <c r="IH106" s="162"/>
      <c r="II106" s="162"/>
      <c r="IJ106" s="162"/>
      <c r="IK106" s="162"/>
      <c r="IL106" s="162"/>
      <c r="IM106" s="162"/>
      <c r="IN106" s="162"/>
      <c r="IO106" s="162"/>
      <c r="IP106" s="162"/>
      <c r="IQ106" s="162"/>
      <c r="IR106" s="162"/>
      <c r="IS106" s="162"/>
      <c r="IT106" s="162"/>
      <c r="IU106" s="162"/>
      <c r="IV106" s="162"/>
    </row>
    <row r="107" spans="1:256" s="168" customFormat="1" x14ac:dyDescent="0.2">
      <c r="A107" s="869"/>
      <c r="B107" s="923"/>
      <c r="C107" s="923"/>
      <c r="D107" s="923"/>
      <c r="E107" s="923"/>
      <c r="F107" s="923"/>
      <c r="G107" s="923"/>
      <c r="H107" s="923"/>
      <c r="I107" s="923"/>
      <c r="J107" s="923"/>
      <c r="K107" s="923"/>
      <c r="L107" s="923"/>
      <c r="M107" s="923"/>
      <c r="N107" s="923"/>
      <c r="O107" s="923"/>
      <c r="P107" s="923"/>
      <c r="Q107" s="912"/>
      <c r="R107" s="913"/>
      <c r="S107" s="167"/>
      <c r="W107" s="206"/>
      <c r="AE107" s="191"/>
      <c r="AF107" s="191"/>
      <c r="AG107" s="192"/>
      <c r="AH107" s="224" t="s">
        <v>386</v>
      </c>
      <c r="AI107" s="224"/>
      <c r="AJ107" s="224"/>
      <c r="AM107" s="206"/>
      <c r="AU107" s="191"/>
      <c r="AV107" s="191"/>
      <c r="AW107" s="192"/>
      <c r="AX107" s="224" t="s">
        <v>386</v>
      </c>
      <c r="AY107" s="224"/>
      <c r="AZ107" s="224"/>
      <c r="BC107" s="206"/>
      <c r="BK107" s="191"/>
      <c r="BL107" s="191"/>
      <c r="BM107" s="192"/>
      <c r="BN107" s="224" t="s">
        <v>386</v>
      </c>
      <c r="BO107" s="224"/>
      <c r="BP107" s="224"/>
      <c r="BS107" s="206"/>
      <c r="CA107" s="191"/>
      <c r="CB107" s="191"/>
      <c r="CC107" s="192"/>
      <c r="CD107" s="224" t="s">
        <v>386</v>
      </c>
      <c r="CE107" s="224"/>
      <c r="CF107" s="224"/>
      <c r="CI107" s="206"/>
      <c r="CQ107" s="191"/>
      <c r="CR107" s="191"/>
      <c r="CS107" s="192"/>
      <c r="CT107" s="224" t="s">
        <v>386</v>
      </c>
      <c r="CU107" s="224"/>
      <c r="CV107" s="224"/>
      <c r="CY107" s="206"/>
      <c r="DG107" s="191"/>
      <c r="DH107" s="191"/>
      <c r="DI107" s="192"/>
      <c r="DJ107" s="224" t="s">
        <v>386</v>
      </c>
      <c r="DK107" s="224"/>
      <c r="DL107" s="224"/>
      <c r="DO107" s="206"/>
      <c r="DW107" s="191"/>
      <c r="DX107" s="191"/>
      <c r="DY107" s="192"/>
      <c r="DZ107" s="224" t="s">
        <v>386</v>
      </c>
      <c r="EA107" s="224"/>
      <c r="EB107" s="224"/>
      <c r="EE107" s="206"/>
      <c r="EM107" s="191"/>
      <c r="EN107" s="191"/>
      <c r="EO107" s="192"/>
      <c r="EP107" s="224" t="s">
        <v>386</v>
      </c>
      <c r="EQ107" s="224"/>
      <c r="ER107" s="224"/>
      <c r="EU107" s="206"/>
      <c r="FC107" s="191"/>
      <c r="FD107" s="191"/>
      <c r="FE107" s="192"/>
      <c r="FF107" s="224" t="s">
        <v>386</v>
      </c>
      <c r="FG107" s="224"/>
      <c r="FH107" s="224"/>
      <c r="HI107" s="162"/>
      <c r="HJ107" s="162"/>
      <c r="HK107" s="162"/>
      <c r="HL107" s="162"/>
      <c r="HM107" s="162"/>
      <c r="HN107" s="162"/>
      <c r="HO107" s="162"/>
      <c r="HP107" s="162"/>
      <c r="HQ107" s="162"/>
      <c r="HR107" s="162"/>
      <c r="HS107" s="162"/>
      <c r="HT107" s="162"/>
      <c r="HU107" s="162"/>
      <c r="HV107" s="162"/>
      <c r="HW107" s="162"/>
      <c r="HX107" s="162"/>
      <c r="HY107" s="162"/>
      <c r="HZ107" s="162"/>
      <c r="IA107" s="162"/>
      <c r="IB107" s="162"/>
      <c r="IC107" s="162"/>
      <c r="ID107" s="162"/>
      <c r="IE107" s="162"/>
      <c r="IF107" s="162"/>
      <c r="IG107" s="162"/>
      <c r="IH107" s="162"/>
      <c r="II107" s="162"/>
      <c r="IJ107" s="162"/>
      <c r="IK107" s="162"/>
      <c r="IL107" s="162"/>
      <c r="IM107" s="162"/>
      <c r="IN107" s="162"/>
      <c r="IO107" s="162"/>
      <c r="IP107" s="162"/>
      <c r="IQ107" s="162"/>
      <c r="IR107" s="162"/>
      <c r="IS107" s="162"/>
      <c r="IT107" s="162"/>
      <c r="IU107" s="162"/>
      <c r="IV107" s="162"/>
    </row>
    <row r="108" spans="1:256" s="168" customFormat="1" x14ac:dyDescent="0.2">
      <c r="A108" s="869"/>
      <c r="B108" s="923"/>
      <c r="C108" s="923"/>
      <c r="D108" s="923"/>
      <c r="E108" s="923"/>
      <c r="F108" s="923"/>
      <c r="G108" s="923"/>
      <c r="H108" s="923"/>
      <c r="I108" s="923"/>
      <c r="J108" s="923"/>
      <c r="K108" s="923"/>
      <c r="L108" s="923"/>
      <c r="M108" s="923"/>
      <c r="N108" s="923"/>
      <c r="O108" s="923"/>
      <c r="P108" s="923"/>
      <c r="Q108" s="912"/>
      <c r="R108" s="913"/>
      <c r="S108" s="167"/>
      <c r="W108" s="206"/>
      <c r="AE108" s="191"/>
      <c r="AF108" s="191"/>
      <c r="AG108" s="192"/>
      <c r="AH108" s="227" t="s">
        <v>24</v>
      </c>
      <c r="AI108" s="227" t="s">
        <v>51</v>
      </c>
      <c r="AJ108" s="227" t="s">
        <v>387</v>
      </c>
      <c r="AM108" s="206"/>
      <c r="AU108" s="191"/>
      <c r="AV108" s="191"/>
      <c r="AW108" s="192"/>
      <c r="AX108" s="227" t="s">
        <v>24</v>
      </c>
      <c r="AY108" s="227" t="s">
        <v>51</v>
      </c>
      <c r="AZ108" s="227" t="s">
        <v>387</v>
      </c>
      <c r="BC108" s="206"/>
      <c r="BK108" s="191"/>
      <c r="BL108" s="191"/>
      <c r="BM108" s="192"/>
      <c r="BN108" s="227" t="s">
        <v>24</v>
      </c>
      <c r="BO108" s="227" t="s">
        <v>51</v>
      </c>
      <c r="BP108" s="227" t="s">
        <v>387</v>
      </c>
      <c r="BS108" s="206"/>
      <c r="CA108" s="191"/>
      <c r="CB108" s="191"/>
      <c r="CC108" s="192"/>
      <c r="CD108" s="227" t="s">
        <v>24</v>
      </c>
      <c r="CE108" s="227" t="s">
        <v>51</v>
      </c>
      <c r="CF108" s="227" t="s">
        <v>387</v>
      </c>
      <c r="CI108" s="206"/>
      <c r="CQ108" s="191"/>
      <c r="CR108" s="191"/>
      <c r="CS108" s="192"/>
      <c r="CT108" s="227" t="s">
        <v>24</v>
      </c>
      <c r="CU108" s="227" t="s">
        <v>51</v>
      </c>
      <c r="CV108" s="227" t="s">
        <v>387</v>
      </c>
      <c r="CY108" s="206"/>
      <c r="DG108" s="191"/>
      <c r="DH108" s="191"/>
      <c r="DI108" s="192"/>
      <c r="DJ108" s="227" t="s">
        <v>24</v>
      </c>
      <c r="DK108" s="227" t="s">
        <v>51</v>
      </c>
      <c r="DL108" s="227" t="s">
        <v>387</v>
      </c>
      <c r="DO108" s="206"/>
      <c r="DW108" s="191"/>
      <c r="DX108" s="191"/>
      <c r="DY108" s="192"/>
      <c r="DZ108" s="227" t="s">
        <v>24</v>
      </c>
      <c r="EA108" s="227" t="s">
        <v>51</v>
      </c>
      <c r="EB108" s="227" t="s">
        <v>387</v>
      </c>
      <c r="EE108" s="206"/>
      <c r="EM108" s="191"/>
      <c r="EN108" s="191"/>
      <c r="EO108" s="192"/>
      <c r="EP108" s="227" t="s">
        <v>24</v>
      </c>
      <c r="EQ108" s="227" t="s">
        <v>51</v>
      </c>
      <c r="ER108" s="227" t="s">
        <v>387</v>
      </c>
      <c r="EU108" s="206"/>
      <c r="FC108" s="191"/>
      <c r="FD108" s="191"/>
      <c r="FE108" s="192"/>
      <c r="FF108" s="227" t="s">
        <v>24</v>
      </c>
      <c r="FG108" s="227" t="s">
        <v>51</v>
      </c>
      <c r="FH108" s="227" t="s">
        <v>387</v>
      </c>
      <c r="HI108" s="162"/>
      <c r="HJ108" s="162"/>
      <c r="HK108" s="162"/>
      <c r="HL108" s="162"/>
      <c r="HM108" s="162"/>
      <c r="HN108" s="162"/>
      <c r="HO108" s="162"/>
      <c r="HP108" s="162"/>
      <c r="HQ108" s="162"/>
      <c r="HR108" s="162"/>
      <c r="HS108" s="162"/>
      <c r="HT108" s="162"/>
      <c r="HU108" s="162"/>
      <c r="HV108" s="162"/>
      <c r="HW108" s="162"/>
      <c r="HX108" s="162"/>
      <c r="HY108" s="162"/>
      <c r="HZ108" s="162"/>
      <c r="IA108" s="162"/>
      <c r="IB108" s="162"/>
      <c r="IC108" s="162"/>
      <c r="ID108" s="162"/>
      <c r="IE108" s="162"/>
      <c r="IF108" s="162"/>
      <c r="IG108" s="162"/>
      <c r="IH108" s="162"/>
      <c r="II108" s="162"/>
      <c r="IJ108" s="162"/>
      <c r="IK108" s="162"/>
      <c r="IL108" s="162"/>
      <c r="IM108" s="162"/>
      <c r="IN108" s="162"/>
      <c r="IO108" s="162"/>
      <c r="IP108" s="162"/>
      <c r="IQ108" s="162"/>
      <c r="IR108" s="162"/>
      <c r="IS108" s="162"/>
      <c r="IT108" s="162"/>
      <c r="IU108" s="162"/>
      <c r="IV108" s="162"/>
    </row>
    <row r="109" spans="1:256" s="168" customFormat="1" x14ac:dyDescent="0.2">
      <c r="A109" s="869"/>
      <c r="B109" s="923"/>
      <c r="C109" s="923"/>
      <c r="D109" s="923"/>
      <c r="E109" s="923"/>
      <c r="F109" s="923"/>
      <c r="G109" s="923"/>
      <c r="H109" s="923"/>
      <c r="I109" s="923"/>
      <c r="J109" s="923"/>
      <c r="K109" s="923"/>
      <c r="L109" s="923"/>
      <c r="M109" s="923"/>
      <c r="N109" s="923"/>
      <c r="O109" s="923"/>
      <c r="P109" s="923"/>
      <c r="Q109" s="912"/>
      <c r="R109" s="913"/>
      <c r="S109" s="167"/>
      <c r="W109" s="229" t="s">
        <v>388</v>
      </c>
      <c r="X109" s="230"/>
      <c r="Y109" s="231" t="s">
        <v>376</v>
      </c>
      <c r="Z109" s="230"/>
      <c r="AA109" s="232" t="s">
        <v>389</v>
      </c>
      <c r="AB109" s="215"/>
      <c r="AC109" s="233" t="s">
        <v>390</v>
      </c>
      <c r="AD109" s="215"/>
      <c r="AE109" s="233" t="s">
        <v>45</v>
      </c>
      <c r="AF109" s="233"/>
      <c r="AG109" s="234" t="s">
        <v>61</v>
      </c>
      <c r="AH109" s="224" t="s">
        <v>391</v>
      </c>
      <c r="AI109" s="224" t="s">
        <v>391</v>
      </c>
      <c r="AJ109" s="224" t="s">
        <v>391</v>
      </c>
      <c r="AM109" s="229" t="s">
        <v>388</v>
      </c>
      <c r="AN109" s="230"/>
      <c r="AO109" s="231" t="s">
        <v>376</v>
      </c>
      <c r="AP109" s="230"/>
      <c r="AQ109" s="232" t="s">
        <v>389</v>
      </c>
      <c r="AR109" s="215"/>
      <c r="AS109" s="233" t="s">
        <v>390</v>
      </c>
      <c r="AT109" s="215"/>
      <c r="AU109" s="233" t="s">
        <v>45</v>
      </c>
      <c r="AV109" s="233"/>
      <c r="AW109" s="234" t="s">
        <v>61</v>
      </c>
      <c r="AX109" s="224" t="s">
        <v>391</v>
      </c>
      <c r="AY109" s="224" t="s">
        <v>391</v>
      </c>
      <c r="AZ109" s="224" t="s">
        <v>391</v>
      </c>
      <c r="BC109" s="229" t="s">
        <v>388</v>
      </c>
      <c r="BD109" s="230"/>
      <c r="BE109" s="231" t="s">
        <v>376</v>
      </c>
      <c r="BF109" s="230"/>
      <c r="BG109" s="232" t="s">
        <v>389</v>
      </c>
      <c r="BH109" s="215"/>
      <c r="BI109" s="233" t="s">
        <v>390</v>
      </c>
      <c r="BJ109" s="215"/>
      <c r="BK109" s="233" t="s">
        <v>45</v>
      </c>
      <c r="BL109" s="233"/>
      <c r="BM109" s="234" t="s">
        <v>61</v>
      </c>
      <c r="BN109" s="224" t="s">
        <v>391</v>
      </c>
      <c r="BO109" s="224" t="s">
        <v>391</v>
      </c>
      <c r="BP109" s="224" t="s">
        <v>391</v>
      </c>
      <c r="BS109" s="229" t="s">
        <v>388</v>
      </c>
      <c r="BT109" s="230"/>
      <c r="BU109" s="231" t="s">
        <v>376</v>
      </c>
      <c r="BV109" s="230"/>
      <c r="BW109" s="232" t="s">
        <v>389</v>
      </c>
      <c r="BX109" s="215"/>
      <c r="BY109" s="233" t="s">
        <v>390</v>
      </c>
      <c r="BZ109" s="215"/>
      <c r="CA109" s="233" t="s">
        <v>45</v>
      </c>
      <c r="CB109" s="233"/>
      <c r="CC109" s="234" t="s">
        <v>61</v>
      </c>
      <c r="CD109" s="224" t="s">
        <v>391</v>
      </c>
      <c r="CE109" s="224" t="s">
        <v>391</v>
      </c>
      <c r="CF109" s="224" t="s">
        <v>391</v>
      </c>
      <c r="CI109" s="229" t="s">
        <v>388</v>
      </c>
      <c r="CJ109" s="230"/>
      <c r="CK109" s="231" t="s">
        <v>376</v>
      </c>
      <c r="CL109" s="230"/>
      <c r="CM109" s="232" t="s">
        <v>389</v>
      </c>
      <c r="CN109" s="215"/>
      <c r="CO109" s="233" t="s">
        <v>390</v>
      </c>
      <c r="CP109" s="215"/>
      <c r="CQ109" s="233" t="s">
        <v>45</v>
      </c>
      <c r="CR109" s="233"/>
      <c r="CS109" s="234" t="s">
        <v>61</v>
      </c>
      <c r="CT109" s="224" t="s">
        <v>391</v>
      </c>
      <c r="CU109" s="224" t="s">
        <v>391</v>
      </c>
      <c r="CV109" s="224" t="s">
        <v>391</v>
      </c>
      <c r="CY109" s="229" t="s">
        <v>388</v>
      </c>
      <c r="CZ109" s="230"/>
      <c r="DA109" s="231" t="s">
        <v>376</v>
      </c>
      <c r="DB109" s="230"/>
      <c r="DC109" s="232" t="s">
        <v>389</v>
      </c>
      <c r="DD109" s="215"/>
      <c r="DE109" s="233" t="s">
        <v>390</v>
      </c>
      <c r="DF109" s="215"/>
      <c r="DG109" s="233" t="s">
        <v>45</v>
      </c>
      <c r="DH109" s="233"/>
      <c r="DI109" s="234" t="s">
        <v>61</v>
      </c>
      <c r="DJ109" s="224" t="s">
        <v>391</v>
      </c>
      <c r="DK109" s="224" t="s">
        <v>391</v>
      </c>
      <c r="DL109" s="224" t="s">
        <v>391</v>
      </c>
      <c r="DO109" s="229" t="s">
        <v>388</v>
      </c>
      <c r="DP109" s="230"/>
      <c r="DQ109" s="231" t="s">
        <v>376</v>
      </c>
      <c r="DR109" s="230"/>
      <c r="DS109" s="232" t="s">
        <v>389</v>
      </c>
      <c r="DT109" s="215"/>
      <c r="DU109" s="233" t="s">
        <v>390</v>
      </c>
      <c r="DV109" s="215"/>
      <c r="DW109" s="233" t="s">
        <v>45</v>
      </c>
      <c r="DX109" s="233"/>
      <c r="DY109" s="234" t="s">
        <v>61</v>
      </c>
      <c r="DZ109" s="224" t="s">
        <v>391</v>
      </c>
      <c r="EA109" s="224" t="s">
        <v>391</v>
      </c>
      <c r="EB109" s="224" t="s">
        <v>391</v>
      </c>
      <c r="EE109" s="229" t="s">
        <v>388</v>
      </c>
      <c r="EF109" s="230"/>
      <c r="EG109" s="231" t="s">
        <v>376</v>
      </c>
      <c r="EH109" s="230"/>
      <c r="EI109" s="232" t="s">
        <v>389</v>
      </c>
      <c r="EJ109" s="215"/>
      <c r="EK109" s="233" t="s">
        <v>390</v>
      </c>
      <c r="EL109" s="215"/>
      <c r="EM109" s="233" t="s">
        <v>45</v>
      </c>
      <c r="EN109" s="233"/>
      <c r="EO109" s="234" t="s">
        <v>61</v>
      </c>
      <c r="EP109" s="224" t="s">
        <v>391</v>
      </c>
      <c r="EQ109" s="224" t="s">
        <v>391</v>
      </c>
      <c r="ER109" s="224" t="s">
        <v>391</v>
      </c>
      <c r="EU109" s="229" t="s">
        <v>388</v>
      </c>
      <c r="EV109" s="230"/>
      <c r="EW109" s="231" t="s">
        <v>376</v>
      </c>
      <c r="EX109" s="230"/>
      <c r="EY109" s="232" t="s">
        <v>389</v>
      </c>
      <c r="EZ109" s="215"/>
      <c r="FA109" s="233" t="s">
        <v>390</v>
      </c>
      <c r="FB109" s="215"/>
      <c r="FC109" s="233" t="s">
        <v>45</v>
      </c>
      <c r="FD109" s="233"/>
      <c r="FE109" s="234" t="s">
        <v>61</v>
      </c>
      <c r="FF109" s="224" t="s">
        <v>391</v>
      </c>
      <c r="FG109" s="224" t="s">
        <v>391</v>
      </c>
      <c r="FH109" s="224" t="s">
        <v>391</v>
      </c>
      <c r="HI109" s="162"/>
      <c r="HJ109" s="162"/>
      <c r="HK109" s="162"/>
      <c r="HL109" s="162"/>
      <c r="HM109" s="162"/>
      <c r="HN109" s="162"/>
      <c r="HO109" s="162"/>
      <c r="HP109" s="162"/>
      <c r="HQ109" s="162"/>
      <c r="HR109" s="162"/>
      <c r="HS109" s="162"/>
      <c r="HT109" s="162"/>
      <c r="HU109" s="162"/>
      <c r="HV109" s="162"/>
      <c r="HW109" s="162"/>
      <c r="HX109" s="162"/>
      <c r="HY109" s="162"/>
      <c r="HZ109" s="162"/>
      <c r="IA109" s="162"/>
      <c r="IB109" s="162"/>
      <c r="IC109" s="162"/>
      <c r="ID109" s="162"/>
      <c r="IE109" s="162"/>
      <c r="IF109" s="162"/>
      <c r="IG109" s="162"/>
      <c r="IH109" s="162"/>
      <c r="II109" s="162"/>
      <c r="IJ109" s="162"/>
      <c r="IK109" s="162"/>
      <c r="IL109" s="162"/>
      <c r="IM109" s="162"/>
      <c r="IN109" s="162"/>
      <c r="IO109" s="162"/>
      <c r="IP109" s="162"/>
      <c r="IQ109" s="162"/>
      <c r="IR109" s="162"/>
      <c r="IS109" s="162"/>
      <c r="IT109" s="162"/>
      <c r="IU109" s="162"/>
      <c r="IV109" s="162"/>
    </row>
    <row r="110" spans="1:256" s="168" customFormat="1" x14ac:dyDescent="0.2">
      <c r="A110" s="869"/>
      <c r="B110" s="923"/>
      <c r="C110" s="923"/>
      <c r="D110" s="923"/>
      <c r="E110" s="923"/>
      <c r="F110" s="923"/>
      <c r="G110" s="923"/>
      <c r="H110" s="923"/>
      <c r="I110" s="923"/>
      <c r="J110" s="923"/>
      <c r="K110" s="923"/>
      <c r="L110" s="923"/>
      <c r="M110" s="923"/>
      <c r="N110" s="923"/>
      <c r="O110" s="923"/>
      <c r="P110" s="923"/>
      <c r="Q110" s="912"/>
      <c r="R110" s="913"/>
      <c r="S110" s="167"/>
      <c r="W110" s="206" t="s">
        <v>392</v>
      </c>
      <c r="Y110" s="168">
        <f>$D13</f>
        <v>40</v>
      </c>
      <c r="AA110" s="168">
        <f>$F13</f>
        <v>9</v>
      </c>
      <c r="AC110" s="191">
        <f>$H13</f>
        <v>450</v>
      </c>
      <c r="AE110" s="242">
        <f>$J13</f>
        <v>48.413275685037192</v>
      </c>
      <c r="AF110" s="191"/>
      <c r="AG110" s="243">
        <f t="shared" ref="AG110:AG115" si="36">$M13</f>
        <v>435.71948116533474</v>
      </c>
      <c r="AH110" s="244">
        <f>IF(AC103=0,0,(AG110/AC103)*100)</f>
        <v>87.143896233066954</v>
      </c>
      <c r="AI110" s="244"/>
      <c r="AJ110" s="244"/>
      <c r="AM110" s="206" t="s">
        <v>392</v>
      </c>
      <c r="AO110" s="168">
        <f>$D13</f>
        <v>40</v>
      </c>
      <c r="AQ110" s="168">
        <f>$F13</f>
        <v>9</v>
      </c>
      <c r="AS110" s="191">
        <f>$H13</f>
        <v>450</v>
      </c>
      <c r="AU110" s="242">
        <f>$J13</f>
        <v>48.413275685037192</v>
      </c>
      <c r="AV110" s="191"/>
      <c r="AW110" s="243">
        <f t="shared" ref="AW110:AW115" si="37">$M13</f>
        <v>435.71948116533474</v>
      </c>
      <c r="AX110" s="244">
        <f>IF(AS103=0,0,(AW110/AS103)*100)</f>
        <v>82.994186888635184</v>
      </c>
      <c r="AY110" s="244"/>
      <c r="AZ110" s="244"/>
      <c r="BC110" s="206" t="s">
        <v>392</v>
      </c>
      <c r="BE110" s="168">
        <f>$D13</f>
        <v>40</v>
      </c>
      <c r="BG110" s="168">
        <f>$F13</f>
        <v>9</v>
      </c>
      <c r="BI110" s="191">
        <f>$H13</f>
        <v>450</v>
      </c>
      <c r="BK110" s="242">
        <f>$J13</f>
        <v>48.413275685037192</v>
      </c>
      <c r="BL110" s="191"/>
      <c r="BM110" s="243">
        <f t="shared" ref="BM110:BM115" si="38">$M13</f>
        <v>435.71948116533474</v>
      </c>
      <c r="BN110" s="244">
        <f>IF(BI103=0,0,(BM110/BI103)*100)</f>
        <v>79.221723848242675</v>
      </c>
      <c r="BO110" s="244"/>
      <c r="BP110" s="244"/>
      <c r="BS110" s="206" t="s">
        <v>392</v>
      </c>
      <c r="BU110" s="168">
        <f>$D13</f>
        <v>40</v>
      </c>
      <c r="BW110" s="168">
        <f>$F13</f>
        <v>9</v>
      </c>
      <c r="BY110" s="191">
        <f>$H13</f>
        <v>450</v>
      </c>
      <c r="CA110" s="242">
        <f>$J13</f>
        <v>48.413275685037192</v>
      </c>
      <c r="CB110" s="191"/>
      <c r="CC110" s="243">
        <f t="shared" ref="CC110:CC115" si="39">$M13</f>
        <v>435.71948116533474</v>
      </c>
      <c r="CD110" s="244">
        <f>IF(BY103=0,0,(CC110/BY103)*100)</f>
        <v>75.777301072232135</v>
      </c>
      <c r="CE110" s="244"/>
      <c r="CF110" s="244"/>
      <c r="CI110" s="206" t="s">
        <v>392</v>
      </c>
      <c r="CK110" s="168">
        <f>$D13</f>
        <v>40</v>
      </c>
      <c r="CM110" s="168">
        <f>$F13</f>
        <v>9</v>
      </c>
      <c r="CO110" s="191">
        <f>$H13</f>
        <v>450</v>
      </c>
      <c r="CQ110" s="242">
        <f>$J13</f>
        <v>48.413275685037192</v>
      </c>
      <c r="CR110" s="191"/>
      <c r="CS110" s="243">
        <f t="shared" ref="CS110:CS115" si="40">$M13</f>
        <v>435.71948116533474</v>
      </c>
      <c r="CT110" s="244">
        <f>IF(CO103=0,0,(CS110/CO103)*100)</f>
        <v>72.619913527555795</v>
      </c>
      <c r="CU110" s="244"/>
      <c r="CV110" s="244"/>
      <c r="CY110" s="206" t="s">
        <v>392</v>
      </c>
      <c r="DA110" s="168">
        <f>$D13</f>
        <v>40</v>
      </c>
      <c r="DC110" s="168">
        <f>$F13</f>
        <v>9</v>
      </c>
      <c r="DE110" s="191">
        <f>$H13</f>
        <v>450</v>
      </c>
      <c r="DG110" s="242">
        <f>$J13</f>
        <v>48.413275685037192</v>
      </c>
      <c r="DH110" s="191"/>
      <c r="DI110" s="243">
        <f t="shared" ref="DI110:DI115" si="41">$M13</f>
        <v>435.71948116533474</v>
      </c>
      <c r="DJ110" s="244">
        <f>IF(DE103=0,0,(DI110/DE103)*100)</f>
        <v>69.715116986453566</v>
      </c>
      <c r="DK110" s="244"/>
      <c r="DL110" s="244"/>
      <c r="DO110" s="206" t="s">
        <v>392</v>
      </c>
      <c r="DQ110" s="168">
        <f>$D13</f>
        <v>40</v>
      </c>
      <c r="DS110" s="168">
        <f>$F13</f>
        <v>9</v>
      </c>
      <c r="DU110" s="191">
        <f>$H13</f>
        <v>450</v>
      </c>
      <c r="DW110" s="242">
        <f>$J13</f>
        <v>48.413275685037192</v>
      </c>
      <c r="DX110" s="191"/>
      <c r="DY110" s="243">
        <f t="shared" ref="DY110:DY115" si="42">$M13</f>
        <v>435.71948116533474</v>
      </c>
      <c r="DZ110" s="244">
        <f>IF(DU103=0,0,(DY110/DU103)*100)</f>
        <v>67.033766333128426</v>
      </c>
      <c r="EA110" s="244"/>
      <c r="EB110" s="244"/>
      <c r="EE110" s="206" t="s">
        <v>392</v>
      </c>
      <c r="EG110" s="168">
        <f>$D13</f>
        <v>40</v>
      </c>
      <c r="EI110" s="168">
        <f>$F13</f>
        <v>9</v>
      </c>
      <c r="EK110" s="191">
        <f>$H13</f>
        <v>450</v>
      </c>
      <c r="EM110" s="242">
        <f>$J13</f>
        <v>48.413275685037192</v>
      </c>
      <c r="EN110" s="191"/>
      <c r="EO110" s="243">
        <f t="shared" ref="EO110:EO115" si="43">$M13</f>
        <v>435.71948116533474</v>
      </c>
      <c r="EP110" s="244">
        <f>IF(EK103=0,0,(EO110/EK103)*100)</f>
        <v>64.551034246716256</v>
      </c>
      <c r="EQ110" s="244"/>
      <c r="ER110" s="244"/>
      <c r="EU110" s="206" t="s">
        <v>392</v>
      </c>
      <c r="EW110" s="168">
        <f>$D13</f>
        <v>40</v>
      </c>
      <c r="EY110" s="168">
        <f>$F13</f>
        <v>9</v>
      </c>
      <c r="FA110" s="191">
        <f>$H13</f>
        <v>450</v>
      </c>
      <c r="FC110" s="242">
        <f>$J13</f>
        <v>48.413275685037192</v>
      </c>
      <c r="FD110" s="191"/>
      <c r="FE110" s="243">
        <f t="shared" ref="FE110:FE115" si="44">$M13</f>
        <v>435.71948116533474</v>
      </c>
      <c r="FF110" s="244">
        <f>IF(FA103=0,0,(FE110/FA103)*100)</f>
        <v>62.245640166476392</v>
      </c>
      <c r="FG110" s="244"/>
      <c r="FH110" s="244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162"/>
      <c r="IE110" s="162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162"/>
    </row>
    <row r="111" spans="1:256" s="249" customFormat="1" ht="12.75" x14ac:dyDescent="0.2">
      <c r="A111" s="869"/>
      <c r="B111" s="923"/>
      <c r="C111" s="923"/>
      <c r="D111" s="923"/>
      <c r="E111" s="923"/>
      <c r="F111" s="923"/>
      <c r="G111" s="923"/>
      <c r="H111" s="923"/>
      <c r="I111" s="923"/>
      <c r="J111" s="923"/>
      <c r="K111" s="923"/>
      <c r="L111" s="923"/>
      <c r="M111" s="923"/>
      <c r="N111" s="923"/>
      <c r="O111" s="923"/>
      <c r="P111" s="923"/>
      <c r="Q111" s="912"/>
      <c r="R111" s="913"/>
      <c r="S111" s="167"/>
      <c r="T111" s="168"/>
      <c r="U111" s="168"/>
      <c r="V111" s="168"/>
      <c r="W111" s="168" t="s">
        <v>393</v>
      </c>
      <c r="AC111" s="213"/>
      <c r="AG111" s="250">
        <f t="shared" si="36"/>
        <v>262.73154808362273</v>
      </c>
      <c r="AH111" s="244">
        <f>IF(AC103=0,0,(AG111/AC103)*100)</f>
        <v>52.546309616724542</v>
      </c>
      <c r="AI111" s="244"/>
      <c r="AJ111" s="244"/>
      <c r="AK111" s="168"/>
      <c r="AL111" s="168"/>
      <c r="AM111" s="168" t="s">
        <v>393</v>
      </c>
      <c r="AS111" s="213"/>
      <c r="AW111" s="250">
        <f t="shared" si="37"/>
        <v>262.73154808362273</v>
      </c>
      <c r="AX111" s="244">
        <f>IF(AS103=0,0,(AW111/AS103)*100)</f>
        <v>50.04410439688052</v>
      </c>
      <c r="AY111" s="244"/>
      <c r="AZ111" s="244"/>
      <c r="BA111" s="168"/>
      <c r="BB111" s="168"/>
      <c r="BC111" s="168" t="s">
        <v>393</v>
      </c>
      <c r="BI111" s="213"/>
      <c r="BM111" s="250">
        <f t="shared" si="38"/>
        <v>262.73154808362273</v>
      </c>
      <c r="BN111" s="244">
        <f>IF(BI103=0,0,(BM111/BI103)*100)</f>
        <v>47.769372378840494</v>
      </c>
      <c r="BO111" s="244"/>
      <c r="BP111" s="244"/>
      <c r="BQ111" s="168"/>
      <c r="BR111" s="168"/>
      <c r="BS111" s="168" t="s">
        <v>393</v>
      </c>
      <c r="BY111" s="213"/>
      <c r="CC111" s="250">
        <f t="shared" si="39"/>
        <v>262.73154808362273</v>
      </c>
      <c r="CD111" s="244">
        <f>IF(BY103=0,0,(CC111/BY103)*100)</f>
        <v>45.692443144977865</v>
      </c>
      <c r="CE111" s="244"/>
      <c r="CF111" s="244"/>
      <c r="CG111" s="168"/>
      <c r="CH111" s="168"/>
      <c r="CI111" s="168" t="s">
        <v>393</v>
      </c>
      <c r="CO111" s="213"/>
      <c r="CS111" s="250">
        <f t="shared" si="40"/>
        <v>262.73154808362273</v>
      </c>
      <c r="CT111" s="244">
        <f>IF(CO103=0,0,(CS111/CO103)*100)</f>
        <v>43.788591347270454</v>
      </c>
      <c r="CU111" s="244"/>
      <c r="CV111" s="244"/>
      <c r="CW111" s="168"/>
      <c r="CX111" s="168"/>
      <c r="CY111" s="168" t="s">
        <v>393</v>
      </c>
      <c r="DE111" s="213"/>
      <c r="DI111" s="250">
        <f t="shared" si="41"/>
        <v>262.73154808362273</v>
      </c>
      <c r="DJ111" s="244">
        <f>IF(DE103=0,0,(DI111/DE103)*100)</f>
        <v>42.037047693379634</v>
      </c>
      <c r="DK111" s="244"/>
      <c r="DL111" s="244"/>
      <c r="DM111" s="168"/>
      <c r="DN111" s="168"/>
      <c r="DO111" s="168" t="s">
        <v>393</v>
      </c>
      <c r="DU111" s="213"/>
      <c r="DY111" s="250">
        <f t="shared" si="42"/>
        <v>262.73154808362273</v>
      </c>
      <c r="DZ111" s="244">
        <f>IF(DU103=0,0,(DY111/DU103)*100)</f>
        <v>40.420238166711187</v>
      </c>
      <c r="EA111" s="244"/>
      <c r="EB111" s="244"/>
      <c r="EC111" s="168"/>
      <c r="ED111" s="168"/>
      <c r="EE111" s="168" t="s">
        <v>393</v>
      </c>
      <c r="EK111" s="213"/>
      <c r="EO111" s="250">
        <f t="shared" si="43"/>
        <v>262.73154808362273</v>
      </c>
      <c r="EP111" s="244">
        <f>IF(EK103=0,0,(EO111/EK103)*100)</f>
        <v>38.923192308684854</v>
      </c>
      <c r="EQ111" s="244"/>
      <c r="ER111" s="244"/>
      <c r="ES111" s="168"/>
      <c r="ET111" s="168"/>
      <c r="EU111" s="168" t="s">
        <v>393</v>
      </c>
      <c r="FA111" s="213"/>
      <c r="FE111" s="250">
        <f t="shared" si="44"/>
        <v>262.73154808362273</v>
      </c>
      <c r="FF111" s="244">
        <f>IF(FA103=0,0,(FE111/FA103)*100)</f>
        <v>37.533078297660389</v>
      </c>
      <c r="FG111" s="244"/>
      <c r="FH111" s="244"/>
      <c r="FI111" s="168"/>
      <c r="FJ111" s="168"/>
      <c r="FK111" s="168"/>
      <c r="FL111" s="168"/>
      <c r="FM111" s="168"/>
      <c r="FN111" s="168"/>
      <c r="FO111" s="168"/>
      <c r="FP111" s="168"/>
      <c r="FQ111" s="168"/>
      <c r="FR111" s="168"/>
      <c r="FS111" s="168"/>
      <c r="FT111" s="168"/>
      <c r="FU111" s="168"/>
      <c r="FV111" s="168"/>
      <c r="FW111" s="168"/>
      <c r="FX111" s="168"/>
      <c r="FY111" s="168"/>
      <c r="FZ111" s="168"/>
      <c r="GA111" s="168"/>
      <c r="GB111" s="168"/>
      <c r="GC111" s="168"/>
      <c r="GD111" s="168"/>
      <c r="GE111" s="168"/>
      <c r="GF111" s="168"/>
      <c r="GG111" s="168"/>
      <c r="GH111" s="168"/>
      <c r="GI111" s="168"/>
      <c r="GJ111" s="168"/>
      <c r="GK111" s="168"/>
      <c r="GL111" s="168"/>
      <c r="GM111" s="168"/>
      <c r="GN111" s="168"/>
      <c r="GO111" s="168"/>
      <c r="GP111" s="168"/>
      <c r="GQ111" s="168"/>
      <c r="GR111" s="168"/>
      <c r="GS111" s="168"/>
      <c r="GT111" s="168"/>
      <c r="GU111" s="168"/>
      <c r="GV111" s="168"/>
      <c r="GW111" s="168"/>
      <c r="GX111" s="168"/>
      <c r="GY111" s="168"/>
      <c r="GZ111" s="168"/>
      <c r="HA111" s="168"/>
      <c r="HB111" s="168"/>
      <c r="HC111" s="168"/>
      <c r="HD111" s="168"/>
      <c r="HE111" s="168"/>
      <c r="HF111" s="168"/>
      <c r="HG111" s="168"/>
      <c r="HH111" s="168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162"/>
      <c r="IE111" s="162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162"/>
    </row>
    <row r="112" spans="1:256" s="168" customFormat="1" x14ac:dyDescent="0.2">
      <c r="A112" s="869"/>
      <c r="B112" s="923"/>
      <c r="C112" s="923"/>
      <c r="D112" s="923"/>
      <c r="E112" s="923"/>
      <c r="F112" s="923"/>
      <c r="G112" s="923"/>
      <c r="H112" s="923"/>
      <c r="I112" s="923"/>
      <c r="J112" s="923"/>
      <c r="K112" s="923"/>
      <c r="L112" s="923"/>
      <c r="M112" s="923"/>
      <c r="N112" s="923"/>
      <c r="O112" s="923"/>
      <c r="P112" s="923"/>
      <c r="Q112" s="912"/>
      <c r="R112" s="913"/>
      <c r="S112" s="167"/>
      <c r="W112" s="206" t="s">
        <v>394</v>
      </c>
      <c r="Y112" s="168">
        <f>$D15</f>
        <v>40</v>
      </c>
      <c r="AA112" s="168">
        <f>$F15</f>
        <v>9</v>
      </c>
      <c r="AC112" s="191">
        <f>AC110</f>
        <v>450</v>
      </c>
      <c r="AE112" s="242">
        <f>$J15</f>
        <v>39.773236100195305</v>
      </c>
      <c r="AF112" s="191"/>
      <c r="AG112" s="243">
        <f t="shared" si="36"/>
        <v>357.95912490175778</v>
      </c>
      <c r="AH112" s="244">
        <f>IF(AC103=0,0,(AG112/AC103)*100)</f>
        <v>71.591824980351561</v>
      </c>
      <c r="AI112" s="244"/>
      <c r="AJ112" s="244"/>
      <c r="AM112" s="206" t="s">
        <v>394</v>
      </c>
      <c r="AO112" s="168">
        <f>$D15</f>
        <v>40</v>
      </c>
      <c r="AQ112" s="168">
        <f>$F15</f>
        <v>9</v>
      </c>
      <c r="AS112" s="191">
        <f>AS110</f>
        <v>450</v>
      </c>
      <c r="AU112" s="242">
        <f>$J15</f>
        <v>39.773236100195305</v>
      </c>
      <c r="AV112" s="191"/>
      <c r="AW112" s="243">
        <f t="shared" si="37"/>
        <v>357.95912490175778</v>
      </c>
      <c r="AX112" s="244">
        <f>IF(AS103=0,0,(AW112/AS103)*100)</f>
        <v>68.182690457477662</v>
      </c>
      <c r="AY112" s="244"/>
      <c r="AZ112" s="244"/>
      <c r="BC112" s="206" t="s">
        <v>394</v>
      </c>
      <c r="BE112" s="168">
        <f>$D15</f>
        <v>40</v>
      </c>
      <c r="BG112" s="168">
        <f>$F15</f>
        <v>9</v>
      </c>
      <c r="BI112" s="191">
        <f>BI110</f>
        <v>450</v>
      </c>
      <c r="BK112" s="242">
        <f>$J15</f>
        <v>39.773236100195305</v>
      </c>
      <c r="BL112" s="191"/>
      <c r="BM112" s="243">
        <f t="shared" si="38"/>
        <v>357.95912490175778</v>
      </c>
      <c r="BN112" s="244">
        <f>IF(BI103=0,0,(BM112/BI103)*100)</f>
        <v>65.083477254865045</v>
      </c>
      <c r="BO112" s="244"/>
      <c r="BP112" s="244"/>
      <c r="BS112" s="206" t="s">
        <v>394</v>
      </c>
      <c r="BU112" s="168">
        <f>$D15</f>
        <v>40</v>
      </c>
      <c r="BW112" s="168">
        <f>$F15</f>
        <v>9</v>
      </c>
      <c r="BY112" s="191">
        <f>BY110</f>
        <v>450</v>
      </c>
      <c r="CA112" s="242">
        <f>$J15</f>
        <v>39.773236100195305</v>
      </c>
      <c r="CB112" s="191"/>
      <c r="CC112" s="243">
        <f t="shared" si="39"/>
        <v>357.95912490175778</v>
      </c>
      <c r="CD112" s="244">
        <f>IF(BY103=0,0,(CC112/BY103)*100)</f>
        <v>62.253760852479608</v>
      </c>
      <c r="CE112" s="244"/>
      <c r="CF112" s="244"/>
      <c r="CI112" s="206" t="s">
        <v>394</v>
      </c>
      <c r="CK112" s="168">
        <f>$D15</f>
        <v>40</v>
      </c>
      <c r="CM112" s="168">
        <f>$F15</f>
        <v>9</v>
      </c>
      <c r="CO112" s="191">
        <f>CO110</f>
        <v>450</v>
      </c>
      <c r="CQ112" s="242">
        <f>$J15</f>
        <v>39.773236100195305</v>
      </c>
      <c r="CR112" s="191"/>
      <c r="CS112" s="243">
        <f t="shared" si="40"/>
        <v>357.95912490175778</v>
      </c>
      <c r="CT112" s="244">
        <f>IF(CO103=0,0,(CS112/CO103)*100)</f>
        <v>59.659854150292965</v>
      </c>
      <c r="CU112" s="244"/>
      <c r="CV112" s="244"/>
      <c r="CY112" s="206" t="s">
        <v>394</v>
      </c>
      <c r="DA112" s="168">
        <f>$D15</f>
        <v>40</v>
      </c>
      <c r="DC112" s="168">
        <f>$F15</f>
        <v>9</v>
      </c>
      <c r="DE112" s="191">
        <f>DE110</f>
        <v>450</v>
      </c>
      <c r="DG112" s="242">
        <f>$J15</f>
        <v>39.773236100195305</v>
      </c>
      <c r="DH112" s="191"/>
      <c r="DI112" s="243">
        <f t="shared" si="41"/>
        <v>357.95912490175778</v>
      </c>
      <c r="DJ112" s="244">
        <f>IF(DE103=0,0,(DI112/DE103)*100)</f>
        <v>57.273459984281239</v>
      </c>
      <c r="DK112" s="244"/>
      <c r="DL112" s="244"/>
      <c r="DO112" s="206" t="s">
        <v>394</v>
      </c>
      <c r="DQ112" s="168">
        <f>$D15</f>
        <v>40</v>
      </c>
      <c r="DS112" s="168">
        <f>$F15</f>
        <v>9</v>
      </c>
      <c r="DU112" s="191">
        <f>DU110</f>
        <v>450</v>
      </c>
      <c r="DW112" s="242">
        <f>$J15</f>
        <v>39.773236100195305</v>
      </c>
      <c r="DX112" s="191"/>
      <c r="DY112" s="243">
        <f t="shared" si="42"/>
        <v>357.95912490175778</v>
      </c>
      <c r="DZ112" s="244">
        <f>IF(DU103=0,0,(DY112/DU103)*100)</f>
        <v>55.070634600270431</v>
      </c>
      <c r="EA112" s="244"/>
      <c r="EB112" s="244"/>
      <c r="EE112" s="206" t="s">
        <v>394</v>
      </c>
      <c r="EG112" s="168">
        <f>$D15</f>
        <v>40</v>
      </c>
      <c r="EI112" s="168">
        <f>$F15</f>
        <v>9</v>
      </c>
      <c r="EK112" s="191">
        <f>EK110</f>
        <v>450</v>
      </c>
      <c r="EM112" s="242">
        <f>$J15</f>
        <v>39.773236100195305</v>
      </c>
      <c r="EN112" s="191"/>
      <c r="EO112" s="243">
        <f t="shared" si="43"/>
        <v>357.95912490175778</v>
      </c>
      <c r="EP112" s="244">
        <f>IF(EK103=0,0,(EO112/EK103)*100)</f>
        <v>53.030981466927074</v>
      </c>
      <c r="EQ112" s="244"/>
      <c r="ER112" s="244"/>
      <c r="EU112" s="206" t="s">
        <v>394</v>
      </c>
      <c r="EW112" s="168">
        <f>$D15</f>
        <v>40</v>
      </c>
      <c r="EY112" s="168">
        <f>$F15</f>
        <v>9</v>
      </c>
      <c r="FA112" s="191">
        <f>FA110</f>
        <v>450</v>
      </c>
      <c r="FC112" s="242">
        <f>$J15</f>
        <v>39.773236100195305</v>
      </c>
      <c r="FD112" s="191"/>
      <c r="FE112" s="243">
        <f t="shared" si="44"/>
        <v>357.95912490175778</v>
      </c>
      <c r="FF112" s="244">
        <f>IF(FA103=0,0,(FE112/FA103)*100)</f>
        <v>51.137017843108254</v>
      </c>
      <c r="FG112" s="244"/>
      <c r="FH112" s="244"/>
      <c r="HI112" s="162"/>
      <c r="HJ112" s="162"/>
      <c r="HK112" s="162"/>
      <c r="HL112" s="162"/>
      <c r="HM112" s="162"/>
      <c r="HN112" s="162"/>
      <c r="HO112" s="162"/>
      <c r="HP112" s="162"/>
      <c r="HQ112" s="162"/>
      <c r="HR112" s="162"/>
      <c r="HS112" s="162"/>
      <c r="HT112" s="162"/>
      <c r="HU112" s="162"/>
      <c r="HV112" s="162"/>
      <c r="HW112" s="162"/>
      <c r="HX112" s="162"/>
      <c r="HY112" s="162"/>
      <c r="HZ112" s="162"/>
      <c r="IA112" s="162"/>
      <c r="IB112" s="162"/>
      <c r="IC112" s="162"/>
      <c r="ID112" s="162"/>
      <c r="IE112" s="162"/>
      <c r="IF112" s="162"/>
      <c r="IG112" s="162"/>
      <c r="IH112" s="162"/>
      <c r="II112" s="162"/>
      <c r="IJ112" s="162"/>
      <c r="IK112" s="162"/>
      <c r="IL112" s="162"/>
      <c r="IM112" s="162"/>
      <c r="IN112" s="162"/>
      <c r="IO112" s="162"/>
      <c r="IP112" s="162"/>
      <c r="IQ112" s="162"/>
      <c r="IR112" s="162"/>
      <c r="IS112" s="162"/>
      <c r="IT112" s="162"/>
      <c r="IU112" s="162"/>
      <c r="IV112" s="162"/>
    </row>
    <row r="113" spans="1:256" s="168" customFormat="1" x14ac:dyDescent="0.2">
      <c r="A113" s="869"/>
      <c r="B113" s="923"/>
      <c r="C113" s="923"/>
      <c r="D113" s="923"/>
      <c r="E113" s="923"/>
      <c r="F113" s="923"/>
      <c r="G113" s="923"/>
      <c r="H113" s="923"/>
      <c r="I113" s="923"/>
      <c r="J113" s="923"/>
      <c r="K113" s="923"/>
      <c r="L113" s="923"/>
      <c r="M113" s="923"/>
      <c r="N113" s="923"/>
      <c r="O113" s="923"/>
      <c r="P113" s="923"/>
      <c r="Q113" s="912"/>
      <c r="R113" s="913"/>
      <c r="S113" s="167"/>
      <c r="W113" s="206" t="s">
        <v>395</v>
      </c>
      <c r="AC113" s="191"/>
      <c r="AE113" s="242"/>
      <c r="AF113" s="191"/>
      <c r="AG113" s="243">
        <f t="shared" si="36"/>
        <v>262.73154808362273</v>
      </c>
      <c r="AH113" s="244">
        <f>IF(AC103=0,0,(AG113/AC103)*100)</f>
        <v>52.546309616724542</v>
      </c>
      <c r="AI113" s="244"/>
      <c r="AJ113" s="244"/>
      <c r="AM113" s="206" t="s">
        <v>395</v>
      </c>
      <c r="AS113" s="191"/>
      <c r="AU113" s="242"/>
      <c r="AV113" s="191"/>
      <c r="AW113" s="243">
        <f t="shared" si="37"/>
        <v>262.73154808362273</v>
      </c>
      <c r="AX113" s="244">
        <f>IF(AS103=0,0,(AW113/AS103)*100)</f>
        <v>50.04410439688052</v>
      </c>
      <c r="AY113" s="244"/>
      <c r="AZ113" s="244"/>
      <c r="BC113" s="206" t="s">
        <v>395</v>
      </c>
      <c r="BI113" s="191"/>
      <c r="BK113" s="242"/>
      <c r="BL113" s="191"/>
      <c r="BM113" s="243">
        <f t="shared" si="38"/>
        <v>262.73154808362273</v>
      </c>
      <c r="BN113" s="244">
        <f>IF(BI103=0,0,(BM113/BI103)*100)</f>
        <v>47.769372378840494</v>
      </c>
      <c r="BO113" s="244"/>
      <c r="BP113" s="244"/>
      <c r="BS113" s="206" t="s">
        <v>395</v>
      </c>
      <c r="BY113" s="191"/>
      <c r="CA113" s="242"/>
      <c r="CB113" s="191"/>
      <c r="CC113" s="243">
        <f t="shared" si="39"/>
        <v>262.73154808362273</v>
      </c>
      <c r="CD113" s="244">
        <f>IF(BY103=0,0,(CC113/BY103)*100)</f>
        <v>45.692443144977865</v>
      </c>
      <c r="CE113" s="244"/>
      <c r="CF113" s="244"/>
      <c r="CI113" s="206" t="s">
        <v>395</v>
      </c>
      <c r="CO113" s="191"/>
      <c r="CQ113" s="242"/>
      <c r="CR113" s="191"/>
      <c r="CS113" s="243">
        <f t="shared" si="40"/>
        <v>262.73154808362273</v>
      </c>
      <c r="CT113" s="244">
        <f>IF(CO103=0,0,(CS113/CO103)*100)</f>
        <v>43.788591347270454</v>
      </c>
      <c r="CU113" s="244"/>
      <c r="CV113" s="244"/>
      <c r="CY113" s="206" t="s">
        <v>395</v>
      </c>
      <c r="DE113" s="191"/>
      <c r="DG113" s="242"/>
      <c r="DH113" s="191"/>
      <c r="DI113" s="243">
        <f t="shared" si="41"/>
        <v>262.73154808362273</v>
      </c>
      <c r="DJ113" s="244">
        <f>IF(DE103=0,0,(DI113/DE103)*100)</f>
        <v>42.037047693379634</v>
      </c>
      <c r="DK113" s="244"/>
      <c r="DL113" s="244"/>
      <c r="DO113" s="206" t="s">
        <v>395</v>
      </c>
      <c r="DU113" s="191"/>
      <c r="DW113" s="242"/>
      <c r="DX113" s="191"/>
      <c r="DY113" s="243">
        <f t="shared" si="42"/>
        <v>262.73154808362273</v>
      </c>
      <c r="DZ113" s="244">
        <f>IF(DU103=0,0,(DY113/DU103)*100)</f>
        <v>40.420238166711187</v>
      </c>
      <c r="EA113" s="244"/>
      <c r="EB113" s="244"/>
      <c r="EE113" s="206" t="s">
        <v>395</v>
      </c>
      <c r="EK113" s="191"/>
      <c r="EM113" s="242"/>
      <c r="EN113" s="191"/>
      <c r="EO113" s="243">
        <f t="shared" si="43"/>
        <v>262.73154808362273</v>
      </c>
      <c r="EP113" s="244">
        <f>IF(EK103=0,0,(EO113/EK103)*100)</f>
        <v>38.923192308684854</v>
      </c>
      <c r="EQ113" s="244"/>
      <c r="ER113" s="244"/>
      <c r="EU113" s="206" t="s">
        <v>395</v>
      </c>
      <c r="FA113" s="191"/>
      <c r="FC113" s="242"/>
      <c r="FD113" s="191"/>
      <c r="FE113" s="243">
        <f t="shared" si="44"/>
        <v>262.73154808362273</v>
      </c>
      <c r="FF113" s="244">
        <f>IF(FA103=0,0,(FE113/FA103)*100)</f>
        <v>37.533078297660389</v>
      </c>
      <c r="FG113" s="244"/>
      <c r="FH113" s="244"/>
      <c r="HI113" s="162"/>
      <c r="HJ113" s="162"/>
      <c r="HK113" s="162"/>
      <c r="HL113" s="162"/>
      <c r="HM113" s="162"/>
      <c r="HN113" s="162"/>
      <c r="HO113" s="162"/>
      <c r="HP113" s="162"/>
      <c r="HQ113" s="162"/>
      <c r="HR113" s="162"/>
      <c r="HS113" s="162"/>
      <c r="HT113" s="162"/>
      <c r="HU113" s="162"/>
      <c r="HV113" s="162"/>
      <c r="HW113" s="162"/>
      <c r="HX113" s="162"/>
      <c r="HY113" s="162"/>
      <c r="HZ113" s="162"/>
      <c r="IA113" s="162"/>
      <c r="IB113" s="162"/>
      <c r="IC113" s="162"/>
      <c r="ID113" s="162"/>
      <c r="IE113" s="162"/>
      <c r="IF113" s="162"/>
      <c r="IG113" s="162"/>
      <c r="IH113" s="162"/>
      <c r="II113" s="162"/>
      <c r="IJ113" s="162"/>
      <c r="IK113" s="162"/>
      <c r="IL113" s="162"/>
      <c r="IM113" s="162"/>
      <c r="IN113" s="162"/>
      <c r="IO113" s="162"/>
      <c r="IP113" s="162"/>
      <c r="IQ113" s="162"/>
      <c r="IR113" s="162"/>
      <c r="IS113" s="162"/>
      <c r="IT113" s="162"/>
      <c r="IU113" s="162"/>
      <c r="IV113" s="162"/>
    </row>
    <row r="114" spans="1:256" s="168" customFormat="1" x14ac:dyDescent="0.2">
      <c r="A114" s="869"/>
      <c r="B114" s="923"/>
      <c r="C114" s="923"/>
      <c r="D114" s="923"/>
      <c r="E114" s="923"/>
      <c r="F114" s="923"/>
      <c r="G114" s="923"/>
      <c r="H114" s="923"/>
      <c r="I114" s="923"/>
      <c r="J114" s="923"/>
      <c r="K114" s="923"/>
      <c r="L114" s="923"/>
      <c r="M114" s="923"/>
      <c r="N114" s="923"/>
      <c r="O114" s="923"/>
      <c r="P114" s="923"/>
      <c r="Q114" s="912"/>
      <c r="R114" s="913"/>
      <c r="S114" s="167"/>
      <c r="W114" s="206" t="s">
        <v>396</v>
      </c>
      <c r="AC114" s="191"/>
      <c r="AE114" s="191"/>
      <c r="AF114" s="191"/>
      <c r="AG114" s="243">
        <f t="shared" si="36"/>
        <v>0</v>
      </c>
      <c r="AH114" s="244">
        <f>IF(AC103=0,0,(AG114/AC103)*100)</f>
        <v>0</v>
      </c>
      <c r="AI114" s="244"/>
      <c r="AJ114" s="244"/>
      <c r="AM114" s="206" t="s">
        <v>396</v>
      </c>
      <c r="AS114" s="191"/>
      <c r="AU114" s="191"/>
      <c r="AV114" s="191"/>
      <c r="AW114" s="243">
        <f t="shared" si="37"/>
        <v>0</v>
      </c>
      <c r="AX114" s="244">
        <f>IF(AS103=0,0,(AW114/AS103)*100)</f>
        <v>0</v>
      </c>
      <c r="AY114" s="244"/>
      <c r="AZ114" s="244"/>
      <c r="BC114" s="206" t="s">
        <v>396</v>
      </c>
      <c r="BI114" s="191"/>
      <c r="BK114" s="191"/>
      <c r="BL114" s="191"/>
      <c r="BM114" s="243">
        <f t="shared" si="38"/>
        <v>0</v>
      </c>
      <c r="BN114" s="244">
        <f>IF(BI103=0,0,(BM114/BI103)*100)</f>
        <v>0</v>
      </c>
      <c r="BO114" s="244"/>
      <c r="BP114" s="244"/>
      <c r="BS114" s="206" t="s">
        <v>396</v>
      </c>
      <c r="BY114" s="191"/>
      <c r="CA114" s="191"/>
      <c r="CB114" s="191"/>
      <c r="CC114" s="243">
        <f t="shared" si="39"/>
        <v>0</v>
      </c>
      <c r="CD114" s="244">
        <f>IF(BY103=0,0,(CC114/BY103)*100)</f>
        <v>0</v>
      </c>
      <c r="CE114" s="244"/>
      <c r="CF114" s="244"/>
      <c r="CI114" s="206" t="s">
        <v>396</v>
      </c>
      <c r="CO114" s="191"/>
      <c r="CQ114" s="191"/>
      <c r="CR114" s="191"/>
      <c r="CS114" s="243">
        <f t="shared" si="40"/>
        <v>0</v>
      </c>
      <c r="CT114" s="244">
        <f>IF(CO103=0,0,(CS114/CO103)*100)</f>
        <v>0</v>
      </c>
      <c r="CU114" s="244"/>
      <c r="CV114" s="244"/>
      <c r="CY114" s="206" t="s">
        <v>396</v>
      </c>
      <c r="DE114" s="191"/>
      <c r="DG114" s="191"/>
      <c r="DH114" s="191"/>
      <c r="DI114" s="243">
        <f t="shared" si="41"/>
        <v>0</v>
      </c>
      <c r="DJ114" s="244">
        <f>IF(DE103=0,0,(DI114/DE103)*100)</f>
        <v>0</v>
      </c>
      <c r="DK114" s="244"/>
      <c r="DL114" s="244"/>
      <c r="DO114" s="206" t="s">
        <v>396</v>
      </c>
      <c r="DU114" s="191"/>
      <c r="DW114" s="191"/>
      <c r="DX114" s="191"/>
      <c r="DY114" s="243">
        <f t="shared" si="42"/>
        <v>0</v>
      </c>
      <c r="DZ114" s="244">
        <f>IF(DU103=0,0,(DY114/DU103)*100)</f>
        <v>0</v>
      </c>
      <c r="EA114" s="244"/>
      <c r="EB114" s="244"/>
      <c r="EE114" s="206" t="s">
        <v>396</v>
      </c>
      <c r="EK114" s="191"/>
      <c r="EM114" s="191"/>
      <c r="EN114" s="191"/>
      <c r="EO114" s="243">
        <f t="shared" si="43"/>
        <v>0</v>
      </c>
      <c r="EP114" s="244">
        <f>IF(EK103=0,0,(EO114/EK103)*100)</f>
        <v>0</v>
      </c>
      <c r="EQ114" s="244"/>
      <c r="ER114" s="244"/>
      <c r="EU114" s="206" t="s">
        <v>396</v>
      </c>
      <c r="FA114" s="191"/>
      <c r="FC114" s="191"/>
      <c r="FD114" s="191"/>
      <c r="FE114" s="243">
        <f t="shared" si="44"/>
        <v>0</v>
      </c>
      <c r="FF114" s="244">
        <f>IF(FA103=0,0,(FE114/FA103)*100)</f>
        <v>0</v>
      </c>
      <c r="FG114" s="244"/>
      <c r="FH114" s="244"/>
      <c r="HI114" s="162"/>
      <c r="HJ114" s="162"/>
      <c r="HK114" s="162"/>
      <c r="HL114" s="162"/>
      <c r="HM114" s="162"/>
      <c r="HN114" s="162"/>
      <c r="HO114" s="162"/>
      <c r="HP114" s="162"/>
      <c r="HQ114" s="162"/>
      <c r="HR114" s="162"/>
      <c r="HS114" s="162"/>
      <c r="HT114" s="162"/>
      <c r="HU114" s="162"/>
      <c r="HV114" s="162"/>
      <c r="HW114" s="162"/>
      <c r="HX114" s="162"/>
      <c r="HY114" s="162"/>
      <c r="HZ114" s="162"/>
      <c r="IA114" s="162"/>
      <c r="IB114" s="162"/>
      <c r="IC114" s="162"/>
      <c r="ID114" s="162"/>
      <c r="IE114" s="162"/>
      <c r="IF114" s="162"/>
      <c r="IG114" s="162"/>
      <c r="IH114" s="162"/>
      <c r="II114" s="162"/>
      <c r="IJ114" s="162"/>
      <c r="IK114" s="162"/>
      <c r="IL114" s="162"/>
      <c r="IM114" s="162"/>
      <c r="IN114" s="162"/>
      <c r="IO114" s="162"/>
      <c r="IP114" s="162"/>
      <c r="IQ114" s="162"/>
      <c r="IR114" s="162"/>
      <c r="IS114" s="162"/>
      <c r="IT114" s="162"/>
      <c r="IU114" s="162"/>
      <c r="IV114" s="162"/>
    </row>
    <row r="115" spans="1:256" s="168" customFormat="1" x14ac:dyDescent="0.2">
      <c r="A115" s="869"/>
      <c r="B115" s="923"/>
      <c r="C115" s="923"/>
      <c r="D115" s="923"/>
      <c r="E115" s="923"/>
      <c r="F115" s="923"/>
      <c r="G115" s="923"/>
      <c r="H115" s="923"/>
      <c r="I115" s="923"/>
      <c r="J115" s="923"/>
      <c r="K115" s="923"/>
      <c r="L115" s="923"/>
      <c r="M115" s="923"/>
      <c r="N115" s="923"/>
      <c r="O115" s="923"/>
      <c r="P115" s="923"/>
      <c r="Q115" s="912"/>
      <c r="R115" s="913"/>
      <c r="S115" s="167"/>
      <c r="W115" s="206" t="s">
        <v>397</v>
      </c>
      <c r="AC115" s="191"/>
      <c r="AE115" s="191"/>
      <c r="AF115" s="191"/>
      <c r="AG115" s="243">
        <f t="shared" si="36"/>
        <v>409.74211320610885</v>
      </c>
      <c r="AH115" s="244">
        <f>IF(AC103=0,0,(AG115/AC103)*100)</f>
        <v>81.948422641221768</v>
      </c>
      <c r="AI115" s="244"/>
      <c r="AJ115" s="244"/>
      <c r="AM115" s="206" t="s">
        <v>397</v>
      </c>
      <c r="AS115" s="191"/>
      <c r="AU115" s="191"/>
      <c r="AV115" s="191"/>
      <c r="AW115" s="243">
        <f t="shared" si="37"/>
        <v>409.74211320610885</v>
      </c>
      <c r="AX115" s="244">
        <f>IF(AS103=0,0,(AW115/AS103)*100)</f>
        <v>78.046116801163592</v>
      </c>
      <c r="AY115" s="244"/>
      <c r="AZ115" s="244"/>
      <c r="BC115" s="206" t="s">
        <v>397</v>
      </c>
      <c r="BI115" s="191"/>
      <c r="BK115" s="191"/>
      <c r="BL115" s="191"/>
      <c r="BM115" s="243">
        <f t="shared" si="38"/>
        <v>409.74211320610885</v>
      </c>
      <c r="BN115" s="244">
        <f>IF(BI103=0,0,(BM115/BI103)*100)</f>
        <v>74.498566037474333</v>
      </c>
      <c r="BO115" s="244"/>
      <c r="BP115" s="244"/>
      <c r="BS115" s="206" t="s">
        <v>397</v>
      </c>
      <c r="BY115" s="191"/>
      <c r="CA115" s="191"/>
      <c r="CB115" s="191"/>
      <c r="CC115" s="243">
        <f t="shared" si="39"/>
        <v>409.74211320610885</v>
      </c>
      <c r="CD115" s="244">
        <f>IF(BY103=0,0,(CC115/BY103)*100)</f>
        <v>71.259497948888495</v>
      </c>
      <c r="CE115" s="244"/>
      <c r="CF115" s="244"/>
      <c r="CI115" s="206" t="s">
        <v>397</v>
      </c>
      <c r="CO115" s="191"/>
      <c r="CQ115" s="191"/>
      <c r="CR115" s="191"/>
      <c r="CS115" s="243">
        <f t="shared" si="40"/>
        <v>409.74211320610885</v>
      </c>
      <c r="CT115" s="244">
        <f>IF(CO103=0,0,(CS115/CO103)*100)</f>
        <v>68.290352201018152</v>
      </c>
      <c r="CU115" s="244"/>
      <c r="CV115" s="244"/>
      <c r="CY115" s="206" t="s">
        <v>397</v>
      </c>
      <c r="DE115" s="191"/>
      <c r="DG115" s="191"/>
      <c r="DH115" s="191"/>
      <c r="DI115" s="243">
        <f t="shared" si="41"/>
        <v>409.74211320610885</v>
      </c>
      <c r="DJ115" s="244">
        <f>IF(DE103=0,0,(DI115/DE103)*100)</f>
        <v>65.558738112977423</v>
      </c>
      <c r="DK115" s="244"/>
      <c r="DL115" s="244"/>
      <c r="DO115" s="206" t="s">
        <v>397</v>
      </c>
      <c r="DU115" s="191"/>
      <c r="DW115" s="191"/>
      <c r="DX115" s="191"/>
      <c r="DY115" s="243">
        <f t="shared" si="42"/>
        <v>409.74211320610885</v>
      </c>
      <c r="DZ115" s="244">
        <f>IF(DU103=0,0,(DY115/DU103)*100)</f>
        <v>63.037248185555207</v>
      </c>
      <c r="EA115" s="244"/>
      <c r="EB115" s="244"/>
      <c r="EE115" s="206" t="s">
        <v>397</v>
      </c>
      <c r="EK115" s="191"/>
      <c r="EM115" s="191"/>
      <c r="EN115" s="191"/>
      <c r="EO115" s="243">
        <f t="shared" si="43"/>
        <v>409.74211320610885</v>
      </c>
      <c r="EP115" s="244">
        <f>IF(EK103=0,0,(EO115/EK103)*100)</f>
        <v>60.7025352897939</v>
      </c>
      <c r="EQ115" s="244"/>
      <c r="ER115" s="244"/>
      <c r="EU115" s="206" t="s">
        <v>397</v>
      </c>
      <c r="FA115" s="191"/>
      <c r="FC115" s="191"/>
      <c r="FD115" s="191"/>
      <c r="FE115" s="243">
        <f t="shared" si="44"/>
        <v>409.74211320610885</v>
      </c>
      <c r="FF115" s="244">
        <f>IF(FA103=0,0,(FE115/FA103)*100)</f>
        <v>58.53458760087269</v>
      </c>
      <c r="FG115" s="244"/>
      <c r="FH115" s="244"/>
      <c r="HI115" s="162"/>
      <c r="HJ115" s="162"/>
      <c r="HK115" s="162"/>
      <c r="HL115" s="162"/>
      <c r="HM115" s="162"/>
      <c r="HN115" s="162"/>
      <c r="HO115" s="162"/>
      <c r="HP115" s="162"/>
      <c r="HQ115" s="162"/>
      <c r="HR115" s="162"/>
      <c r="HS115" s="162"/>
      <c r="HT115" s="162"/>
      <c r="HU115" s="162"/>
      <c r="HV115" s="162"/>
      <c r="HW115" s="162"/>
      <c r="HX115" s="162"/>
      <c r="HY115" s="162"/>
      <c r="HZ115" s="162"/>
      <c r="IA115" s="162"/>
      <c r="IB115" s="162"/>
      <c r="IC115" s="162"/>
      <c r="ID115" s="162"/>
      <c r="IE115" s="162"/>
      <c r="IF115" s="162"/>
      <c r="IG115" s="162"/>
      <c r="IH115" s="162"/>
      <c r="II115" s="162"/>
      <c r="IJ115" s="162"/>
      <c r="IK115" s="162"/>
      <c r="IL115" s="162"/>
      <c r="IM115" s="162"/>
      <c r="IN115" s="162"/>
      <c r="IO115" s="162"/>
      <c r="IP115" s="162"/>
      <c r="IQ115" s="162"/>
      <c r="IR115" s="162"/>
      <c r="IS115" s="162"/>
      <c r="IT115" s="162"/>
      <c r="IU115" s="162"/>
      <c r="IV115" s="162"/>
    </row>
    <row r="116" spans="1:256" s="168" customFormat="1" ht="12.75" x14ac:dyDescent="0.2">
      <c r="A116" s="869"/>
      <c r="B116" s="923"/>
      <c r="C116" s="923"/>
      <c r="D116" s="923"/>
      <c r="E116" s="923"/>
      <c r="F116" s="923"/>
      <c r="G116" s="923"/>
      <c r="H116" s="923"/>
      <c r="I116" s="923"/>
      <c r="J116" s="923"/>
      <c r="K116" s="923"/>
      <c r="L116" s="923"/>
      <c r="M116" s="923"/>
      <c r="N116" s="923"/>
      <c r="O116" s="923"/>
      <c r="P116" s="923"/>
      <c r="Q116" s="912"/>
      <c r="R116" s="913"/>
      <c r="S116" s="167"/>
      <c r="W116" s="198" t="s">
        <v>398</v>
      </c>
      <c r="X116" s="262"/>
      <c r="Y116" s="262">
        <f>SUM(Y110:Y112)</f>
        <v>80</v>
      </c>
      <c r="AC116" s="191"/>
      <c r="AE116" s="191"/>
      <c r="AF116" s="191"/>
      <c r="AG116" s="249"/>
      <c r="AH116" s="244"/>
      <c r="AI116" s="244"/>
      <c r="AJ116" s="244"/>
      <c r="AM116" s="198" t="s">
        <v>398</v>
      </c>
      <c r="AN116" s="262"/>
      <c r="AO116" s="262">
        <f>SUM(AO110:AO112)</f>
        <v>80</v>
      </c>
      <c r="AS116" s="191"/>
      <c r="AU116" s="191"/>
      <c r="AV116" s="191"/>
      <c r="AW116" s="249"/>
      <c r="AX116" s="244"/>
      <c r="AY116" s="244"/>
      <c r="AZ116" s="244"/>
      <c r="BC116" s="198" t="s">
        <v>398</v>
      </c>
      <c r="BD116" s="262"/>
      <c r="BE116" s="262">
        <f>SUM(BE110:BE112)</f>
        <v>80</v>
      </c>
      <c r="BI116" s="191"/>
      <c r="BK116" s="191"/>
      <c r="BL116" s="191"/>
      <c r="BM116" s="249"/>
      <c r="BN116" s="244"/>
      <c r="BO116" s="244"/>
      <c r="BP116" s="244"/>
      <c r="BS116" s="198" t="s">
        <v>398</v>
      </c>
      <c r="BT116" s="262"/>
      <c r="BU116" s="262">
        <f>SUM(BU110:BU112)</f>
        <v>80</v>
      </c>
      <c r="BY116" s="191"/>
      <c r="CA116" s="191"/>
      <c r="CB116" s="191"/>
      <c r="CC116" s="249"/>
      <c r="CD116" s="244"/>
      <c r="CE116" s="244"/>
      <c r="CF116" s="244"/>
      <c r="CI116" s="198" t="s">
        <v>398</v>
      </c>
      <c r="CJ116" s="262"/>
      <c r="CK116" s="262">
        <f>SUM(CK110:CK112)</f>
        <v>80</v>
      </c>
      <c r="CO116" s="191"/>
      <c r="CQ116" s="191"/>
      <c r="CR116" s="191"/>
      <c r="CS116" s="249"/>
      <c r="CT116" s="244"/>
      <c r="CU116" s="244"/>
      <c r="CV116" s="244"/>
      <c r="CY116" s="198" t="s">
        <v>398</v>
      </c>
      <c r="CZ116" s="262"/>
      <c r="DA116" s="262">
        <f>SUM(DA110:DA112)</f>
        <v>80</v>
      </c>
      <c r="DE116" s="191"/>
      <c r="DG116" s="191"/>
      <c r="DH116" s="191"/>
      <c r="DI116" s="249"/>
      <c r="DJ116" s="244"/>
      <c r="DK116" s="244"/>
      <c r="DL116" s="244"/>
      <c r="DO116" s="198" t="s">
        <v>398</v>
      </c>
      <c r="DP116" s="262"/>
      <c r="DQ116" s="262">
        <f>SUM(DQ110:DQ112)</f>
        <v>80</v>
      </c>
      <c r="DU116" s="191"/>
      <c r="DW116" s="191"/>
      <c r="DX116" s="191"/>
      <c r="DY116" s="249"/>
      <c r="DZ116" s="244"/>
      <c r="EA116" s="244"/>
      <c r="EB116" s="244"/>
      <c r="EE116" s="198" t="s">
        <v>398</v>
      </c>
      <c r="EF116" s="262"/>
      <c r="EG116" s="262">
        <f>SUM(EG110:EG112)</f>
        <v>80</v>
      </c>
      <c r="EK116" s="191"/>
      <c r="EM116" s="191"/>
      <c r="EN116" s="191"/>
      <c r="EO116" s="249"/>
      <c r="EP116" s="244"/>
      <c r="EQ116" s="244"/>
      <c r="ER116" s="244"/>
      <c r="EU116" s="198" t="s">
        <v>398</v>
      </c>
      <c r="EV116" s="262"/>
      <c r="EW116" s="262">
        <f>SUM(EW110:EW112)</f>
        <v>80</v>
      </c>
      <c r="FA116" s="191"/>
      <c r="FC116" s="191"/>
      <c r="FD116" s="191"/>
      <c r="FE116" s="249"/>
      <c r="FF116" s="244"/>
      <c r="FG116" s="244"/>
      <c r="FH116" s="244"/>
      <c r="HI116" s="162"/>
      <c r="HJ116" s="162"/>
      <c r="HK116" s="162"/>
      <c r="HL116" s="162"/>
      <c r="HM116" s="162"/>
      <c r="HN116" s="162"/>
      <c r="HO116" s="162"/>
      <c r="HP116" s="162"/>
      <c r="HQ116" s="162"/>
      <c r="HR116" s="162"/>
      <c r="HS116" s="162"/>
      <c r="HT116" s="162"/>
      <c r="HU116" s="162"/>
      <c r="HV116" s="162"/>
      <c r="HW116" s="162"/>
      <c r="HX116" s="162"/>
      <c r="HY116" s="162"/>
      <c r="HZ116" s="162"/>
      <c r="IA116" s="162"/>
      <c r="IB116" s="162"/>
      <c r="IC116" s="162"/>
      <c r="ID116" s="162"/>
      <c r="IE116" s="162"/>
      <c r="IF116" s="162"/>
      <c r="IG116" s="162"/>
      <c r="IH116" s="162"/>
      <c r="II116" s="162"/>
      <c r="IJ116" s="162"/>
      <c r="IK116" s="162"/>
      <c r="IL116" s="162"/>
      <c r="IM116" s="162"/>
      <c r="IN116" s="162"/>
      <c r="IO116" s="162"/>
      <c r="IP116" s="162"/>
      <c r="IQ116" s="162"/>
      <c r="IR116" s="162"/>
      <c r="IS116" s="162"/>
      <c r="IT116" s="162"/>
      <c r="IU116" s="162"/>
      <c r="IV116" s="162"/>
    </row>
    <row r="117" spans="1:256" s="168" customFormat="1" x14ac:dyDescent="0.2">
      <c r="A117" s="869"/>
      <c r="B117" s="923"/>
      <c r="C117" s="923"/>
      <c r="D117" s="923"/>
      <c r="E117" s="923"/>
      <c r="F117" s="923"/>
      <c r="G117" s="923"/>
      <c r="H117" s="923"/>
      <c r="I117" s="923"/>
      <c r="J117" s="923"/>
      <c r="K117" s="923"/>
      <c r="L117" s="923"/>
      <c r="M117" s="923"/>
      <c r="N117" s="923"/>
      <c r="O117" s="923"/>
      <c r="P117" s="923"/>
      <c r="Q117" s="912"/>
      <c r="R117" s="913"/>
      <c r="S117" s="167"/>
      <c r="W117" s="206" t="s">
        <v>400</v>
      </c>
      <c r="Y117" s="168">
        <f>$D24</f>
        <v>40</v>
      </c>
      <c r="AA117" s="168">
        <f>$F24</f>
        <v>4.5</v>
      </c>
      <c r="AC117" s="191">
        <f>$H24</f>
        <v>180</v>
      </c>
      <c r="AE117" s="242">
        <f>$J24</f>
        <v>91.069831422822091</v>
      </c>
      <c r="AF117" s="191"/>
      <c r="AG117" s="243">
        <f>$M24</f>
        <v>409.81424140269939</v>
      </c>
      <c r="AH117" s="244"/>
      <c r="AI117" s="244">
        <f>IF(AC104=0,0,(AG117/AC104)*100)</f>
        <v>81.962848280539873</v>
      </c>
      <c r="AJ117" s="244"/>
      <c r="AM117" s="206" t="s">
        <v>400</v>
      </c>
      <c r="AO117" s="168">
        <f>$D24</f>
        <v>40</v>
      </c>
      <c r="AQ117" s="168">
        <f>$F24</f>
        <v>4.5</v>
      </c>
      <c r="AS117" s="191">
        <f>$H24</f>
        <v>180</v>
      </c>
      <c r="AU117" s="242">
        <f>$J24</f>
        <v>91.069831422822091</v>
      </c>
      <c r="AV117" s="191"/>
      <c r="AW117" s="243">
        <f>$M24</f>
        <v>409.81424140269939</v>
      </c>
      <c r="AX117" s="244"/>
      <c r="AY117" s="244">
        <f>IF(AS104=0,0,(AW117/AS104)*100)</f>
        <v>78.059855505276076</v>
      </c>
      <c r="AZ117" s="244"/>
      <c r="BC117" s="206" t="s">
        <v>400</v>
      </c>
      <c r="BE117" s="168">
        <f>$D24</f>
        <v>40</v>
      </c>
      <c r="BG117" s="168">
        <f>$F24</f>
        <v>4.5</v>
      </c>
      <c r="BI117" s="191">
        <f>$H24</f>
        <v>180</v>
      </c>
      <c r="BK117" s="242">
        <f>$J24</f>
        <v>91.069831422822091</v>
      </c>
      <c r="BL117" s="191"/>
      <c r="BM117" s="243">
        <f>$M24</f>
        <v>409.81424140269939</v>
      </c>
      <c r="BN117" s="244"/>
      <c r="BO117" s="244">
        <f>IF(BI104=0,0,(BM117/BI104)*100)</f>
        <v>74.511680255036254</v>
      </c>
      <c r="BP117" s="244"/>
      <c r="BS117" s="206" t="s">
        <v>400</v>
      </c>
      <c r="BU117" s="168">
        <f>$D24</f>
        <v>40</v>
      </c>
      <c r="BW117" s="168">
        <f>$F24</f>
        <v>4.5</v>
      </c>
      <c r="BY117" s="191">
        <f>$H24</f>
        <v>180</v>
      </c>
      <c r="CA117" s="242">
        <f>$J24</f>
        <v>91.069831422822091</v>
      </c>
      <c r="CB117" s="191"/>
      <c r="CC117" s="243">
        <f>$M24</f>
        <v>409.81424140269939</v>
      </c>
      <c r="CD117" s="244"/>
      <c r="CE117" s="244">
        <f>IF(BY104=0,0,(CC117/BY104)*100)</f>
        <v>71.272041983078154</v>
      </c>
      <c r="CF117" s="244"/>
      <c r="CI117" s="206" t="s">
        <v>400</v>
      </c>
      <c r="CK117" s="168">
        <f>$D24</f>
        <v>40</v>
      </c>
      <c r="CM117" s="168">
        <f>$F24</f>
        <v>4.5</v>
      </c>
      <c r="CO117" s="191">
        <f>$H24</f>
        <v>180</v>
      </c>
      <c r="CQ117" s="242">
        <f>$J24</f>
        <v>91.069831422822091</v>
      </c>
      <c r="CR117" s="191"/>
      <c r="CS117" s="243">
        <f>$M24</f>
        <v>409.81424140269939</v>
      </c>
      <c r="CT117" s="244"/>
      <c r="CU117" s="244">
        <f>IF(CO104=0,0,(CS117/CO104)*100)</f>
        <v>68.302373567116575</v>
      </c>
      <c r="CV117" s="244"/>
      <c r="CY117" s="206" t="s">
        <v>400</v>
      </c>
      <c r="DA117" s="168">
        <f>$D24</f>
        <v>40</v>
      </c>
      <c r="DC117" s="168">
        <f>$F24</f>
        <v>4.5</v>
      </c>
      <c r="DE117" s="191">
        <f>$H24</f>
        <v>180</v>
      </c>
      <c r="DG117" s="242">
        <f>$J24</f>
        <v>91.069831422822091</v>
      </c>
      <c r="DH117" s="191"/>
      <c r="DI117" s="243">
        <f>$M24</f>
        <v>409.81424140269939</v>
      </c>
      <c r="DJ117" s="244"/>
      <c r="DK117" s="244">
        <f>IF(DE104=0,0,(DI117/DE104)*100)</f>
        <v>65.570278624431893</v>
      </c>
      <c r="DL117" s="244"/>
      <c r="DO117" s="206" t="s">
        <v>400</v>
      </c>
      <c r="DQ117" s="168">
        <f>$D24</f>
        <v>40</v>
      </c>
      <c r="DS117" s="168">
        <f>$F24</f>
        <v>4.5</v>
      </c>
      <c r="DU117" s="191">
        <f>$H24</f>
        <v>180</v>
      </c>
      <c r="DW117" s="242">
        <f>$J24</f>
        <v>91.069831422822091</v>
      </c>
      <c r="DX117" s="191"/>
      <c r="DY117" s="243">
        <f>$M24</f>
        <v>409.81424140269939</v>
      </c>
      <c r="DZ117" s="244"/>
      <c r="EA117" s="244">
        <f>IF(DU104=0,0,(DY117/DU104)*100)</f>
        <v>63.048344831184522</v>
      </c>
      <c r="EB117" s="244"/>
      <c r="EE117" s="206" t="s">
        <v>400</v>
      </c>
      <c r="EG117" s="168">
        <f>$D24</f>
        <v>40</v>
      </c>
      <c r="EI117" s="168">
        <f>$F24</f>
        <v>4.5</v>
      </c>
      <c r="EK117" s="191">
        <f>$H24</f>
        <v>180</v>
      </c>
      <c r="EM117" s="242">
        <f>$J24</f>
        <v>91.069831422822091</v>
      </c>
      <c r="EN117" s="191"/>
      <c r="EO117" s="243">
        <f>$M24</f>
        <v>409.81424140269939</v>
      </c>
      <c r="EP117" s="244"/>
      <c r="EQ117" s="244">
        <f>IF(EK104=0,0,(EO117/EK104)*100)</f>
        <v>60.713220948548063</v>
      </c>
      <c r="ER117" s="244"/>
      <c r="EU117" s="206" t="s">
        <v>400</v>
      </c>
      <c r="EW117" s="168">
        <f>$D24</f>
        <v>40</v>
      </c>
      <c r="EY117" s="168">
        <f>$F24</f>
        <v>4.5</v>
      </c>
      <c r="FA117" s="191">
        <f>$H24</f>
        <v>180</v>
      </c>
      <c r="FC117" s="242">
        <f>$J24</f>
        <v>91.069831422822091</v>
      </c>
      <c r="FD117" s="191"/>
      <c r="FE117" s="243">
        <f>$M24</f>
        <v>409.81424140269939</v>
      </c>
      <c r="FF117" s="244"/>
      <c r="FG117" s="244">
        <f>IF(FA104=0,0,(FE117/FA104)*100)</f>
        <v>58.544891628957053</v>
      </c>
      <c r="FH117" s="244"/>
      <c r="HI117" s="162"/>
      <c r="HJ117" s="162"/>
      <c r="HK117" s="162"/>
      <c r="HL117" s="162"/>
      <c r="HM117" s="162"/>
      <c r="HN117" s="162"/>
      <c r="HO117" s="162"/>
      <c r="HP117" s="162"/>
      <c r="HQ117" s="162"/>
      <c r="HR117" s="162"/>
      <c r="HS117" s="162"/>
      <c r="HT117" s="162"/>
      <c r="HU117" s="162"/>
      <c r="HV117" s="162"/>
      <c r="HW117" s="162"/>
      <c r="HX117" s="162"/>
      <c r="HY117" s="162"/>
      <c r="HZ117" s="162"/>
      <c r="IA117" s="162"/>
      <c r="IB117" s="162"/>
      <c r="IC117" s="162"/>
      <c r="ID117" s="162"/>
      <c r="IE117" s="162"/>
      <c r="IF117" s="162"/>
      <c r="IG117" s="162"/>
      <c r="IH117" s="162"/>
      <c r="II117" s="162"/>
      <c r="IJ117" s="162"/>
      <c r="IK117" s="162"/>
      <c r="IL117" s="162"/>
      <c r="IM117" s="162"/>
      <c r="IN117" s="162"/>
      <c r="IO117" s="162"/>
      <c r="IP117" s="162"/>
      <c r="IQ117" s="162"/>
      <c r="IR117" s="162"/>
      <c r="IS117" s="162"/>
      <c r="IT117" s="162"/>
      <c r="IU117" s="162"/>
      <c r="IV117" s="162"/>
    </row>
    <row r="118" spans="1:256" s="168" customFormat="1" x14ac:dyDescent="0.2">
      <c r="A118" s="869"/>
      <c r="B118" s="923"/>
      <c r="C118" s="923"/>
      <c r="D118" s="923"/>
      <c r="E118" s="923"/>
      <c r="F118" s="923"/>
      <c r="G118" s="923"/>
      <c r="H118" s="923"/>
      <c r="I118" s="923"/>
      <c r="J118" s="923"/>
      <c r="K118" s="923"/>
      <c r="L118" s="923"/>
      <c r="M118" s="923"/>
      <c r="N118" s="923"/>
      <c r="O118" s="923"/>
      <c r="P118" s="923"/>
      <c r="Q118" s="912"/>
      <c r="R118" s="913"/>
      <c r="S118" s="167"/>
      <c r="W118" s="206" t="s">
        <v>402</v>
      </c>
      <c r="AC118" s="191"/>
      <c r="AE118" s="242"/>
      <c r="AF118" s="191"/>
      <c r="AG118" s="243">
        <f>$M25</f>
        <v>262.73154808362273</v>
      </c>
      <c r="AH118" s="244"/>
      <c r="AI118" s="244">
        <f>IF(AC104=0,0,(AG118/AC104)*100)</f>
        <v>52.546309616724542</v>
      </c>
      <c r="AJ118" s="244"/>
      <c r="AM118" s="206" t="s">
        <v>402</v>
      </c>
      <c r="AS118" s="191"/>
      <c r="AU118" s="242"/>
      <c r="AV118" s="191"/>
      <c r="AW118" s="243">
        <f>$M25</f>
        <v>262.73154808362273</v>
      </c>
      <c r="AX118" s="244"/>
      <c r="AY118" s="244">
        <f>IF(AS104=0,0,(AW118/AS104)*100)</f>
        <v>50.04410439688052</v>
      </c>
      <c r="AZ118" s="244"/>
      <c r="BC118" s="206" t="s">
        <v>402</v>
      </c>
      <c r="BI118" s="191"/>
      <c r="BK118" s="242"/>
      <c r="BL118" s="191"/>
      <c r="BM118" s="243">
        <f>$M25</f>
        <v>262.73154808362273</v>
      </c>
      <c r="BN118" s="244"/>
      <c r="BO118" s="244">
        <f>IF(BI104=0,0,(BM118/BI104)*100)</f>
        <v>47.769372378840494</v>
      </c>
      <c r="BP118" s="244"/>
      <c r="BS118" s="206" t="s">
        <v>402</v>
      </c>
      <c r="BY118" s="191"/>
      <c r="CA118" s="242"/>
      <c r="CB118" s="191"/>
      <c r="CC118" s="243">
        <f>$M25</f>
        <v>262.73154808362273</v>
      </c>
      <c r="CD118" s="244"/>
      <c r="CE118" s="244">
        <f>IF(BY104=0,0,(CC118/BY104)*100)</f>
        <v>45.692443144977865</v>
      </c>
      <c r="CF118" s="244"/>
      <c r="CI118" s="206" t="s">
        <v>402</v>
      </c>
      <c r="CO118" s="191"/>
      <c r="CQ118" s="242"/>
      <c r="CR118" s="191"/>
      <c r="CS118" s="243">
        <f>$M25</f>
        <v>262.73154808362273</v>
      </c>
      <c r="CT118" s="244"/>
      <c r="CU118" s="244">
        <f>IF(CO104=0,0,(CS118/CO104)*100)</f>
        <v>43.788591347270454</v>
      </c>
      <c r="CV118" s="244"/>
      <c r="CY118" s="206" t="s">
        <v>402</v>
      </c>
      <c r="DE118" s="191"/>
      <c r="DG118" s="242"/>
      <c r="DH118" s="191"/>
      <c r="DI118" s="243">
        <f>$M25</f>
        <v>262.73154808362273</v>
      </c>
      <c r="DJ118" s="244"/>
      <c r="DK118" s="244">
        <f>IF(DE104=0,0,(DI118/DE104)*100)</f>
        <v>42.037047693379634</v>
      </c>
      <c r="DL118" s="244"/>
      <c r="DO118" s="206" t="s">
        <v>402</v>
      </c>
      <c r="DU118" s="191"/>
      <c r="DW118" s="242"/>
      <c r="DX118" s="191"/>
      <c r="DY118" s="243">
        <f>$M25</f>
        <v>262.73154808362273</v>
      </c>
      <c r="DZ118" s="244"/>
      <c r="EA118" s="244">
        <f>IF(DU104=0,0,(DY118/DU104)*100)</f>
        <v>40.420238166711187</v>
      </c>
      <c r="EB118" s="244"/>
      <c r="EE118" s="206" t="s">
        <v>402</v>
      </c>
      <c r="EK118" s="191"/>
      <c r="EM118" s="242"/>
      <c r="EN118" s="191"/>
      <c r="EO118" s="243">
        <f>$M25</f>
        <v>262.73154808362273</v>
      </c>
      <c r="EP118" s="244"/>
      <c r="EQ118" s="244">
        <f>IF(EK104=0,0,(EO118/EK104)*100)</f>
        <v>38.923192308684854</v>
      </c>
      <c r="ER118" s="244"/>
      <c r="EU118" s="206" t="s">
        <v>402</v>
      </c>
      <c r="FA118" s="191"/>
      <c r="FC118" s="242"/>
      <c r="FD118" s="191"/>
      <c r="FE118" s="243">
        <f>$M25</f>
        <v>262.73154808362273</v>
      </c>
      <c r="FF118" s="244"/>
      <c r="FG118" s="244">
        <f>IF(FA104=0,0,(FE118/FA104)*100)</f>
        <v>37.533078297660389</v>
      </c>
      <c r="FH118" s="244"/>
      <c r="HI118" s="162"/>
      <c r="HJ118" s="162"/>
      <c r="HK118" s="162"/>
      <c r="HL118" s="162"/>
      <c r="HM118" s="162"/>
      <c r="HN118" s="162"/>
      <c r="HO118" s="162"/>
      <c r="HP118" s="162"/>
      <c r="HQ118" s="162"/>
      <c r="HR118" s="162"/>
      <c r="HS118" s="162"/>
      <c r="HT118" s="162"/>
      <c r="HU118" s="162"/>
      <c r="HV118" s="162"/>
      <c r="HW118" s="162"/>
      <c r="HX118" s="162"/>
      <c r="HY118" s="162"/>
      <c r="HZ118" s="162"/>
      <c r="IA118" s="162"/>
      <c r="IB118" s="162"/>
      <c r="IC118" s="162"/>
      <c r="ID118" s="162"/>
      <c r="IE118" s="162"/>
      <c r="IF118" s="162"/>
      <c r="IG118" s="162"/>
      <c r="IH118" s="162"/>
      <c r="II118" s="162"/>
      <c r="IJ118" s="162"/>
      <c r="IK118" s="162"/>
      <c r="IL118" s="162"/>
      <c r="IM118" s="162"/>
      <c r="IN118" s="162"/>
      <c r="IO118" s="162"/>
      <c r="IP118" s="162"/>
      <c r="IQ118" s="162"/>
      <c r="IR118" s="162"/>
      <c r="IS118" s="162"/>
      <c r="IT118" s="162"/>
      <c r="IU118" s="162"/>
      <c r="IV118" s="162"/>
    </row>
    <row r="119" spans="1:256" s="168" customFormat="1" x14ac:dyDescent="0.2">
      <c r="A119" s="869"/>
      <c r="B119" s="923"/>
      <c r="C119" s="923"/>
      <c r="D119" s="923"/>
      <c r="E119" s="923"/>
      <c r="F119" s="923"/>
      <c r="G119" s="923"/>
      <c r="H119" s="923"/>
      <c r="I119" s="923"/>
      <c r="J119" s="923"/>
      <c r="K119" s="923"/>
      <c r="L119" s="923"/>
      <c r="M119" s="923"/>
      <c r="N119" s="923"/>
      <c r="O119" s="923"/>
      <c r="P119" s="923"/>
      <c r="Q119" s="912"/>
      <c r="R119" s="913"/>
      <c r="S119" s="167"/>
      <c r="W119" s="206" t="s">
        <v>404</v>
      </c>
      <c r="Y119" s="168">
        <f>$D26</f>
        <v>40</v>
      </c>
      <c r="AA119" s="168">
        <f>$F26</f>
        <v>4.5</v>
      </c>
      <c r="AC119" s="191">
        <f>AC117</f>
        <v>180</v>
      </c>
      <c r="AE119" s="242">
        <f>$J26</f>
        <v>208.56143250213083</v>
      </c>
      <c r="AF119" s="191"/>
      <c r="AG119" s="243">
        <f>$M26</f>
        <v>938.52644625958874</v>
      </c>
      <c r="AH119" s="244"/>
      <c r="AI119" s="244">
        <f>IF(AC104=0,0,(AG119/AC104)*100)</f>
        <v>187.70528925191775</v>
      </c>
      <c r="AJ119" s="244"/>
      <c r="AM119" s="206" t="s">
        <v>404</v>
      </c>
      <c r="AO119" s="168">
        <f>$D26</f>
        <v>40</v>
      </c>
      <c r="AQ119" s="168">
        <f>$F26</f>
        <v>4.5</v>
      </c>
      <c r="AS119" s="191">
        <f>AS117</f>
        <v>180</v>
      </c>
      <c r="AU119" s="242">
        <f>$J26</f>
        <v>208.56143250213083</v>
      </c>
      <c r="AV119" s="191"/>
      <c r="AW119" s="243">
        <f>$M26</f>
        <v>938.52644625958874</v>
      </c>
      <c r="AX119" s="244"/>
      <c r="AY119" s="244">
        <f>IF(AS104=0,0,(AW119/AS104)*100)</f>
        <v>178.76694214468355</v>
      </c>
      <c r="AZ119" s="244"/>
      <c r="BC119" s="206" t="s">
        <v>404</v>
      </c>
      <c r="BE119" s="168">
        <f>$D26</f>
        <v>40</v>
      </c>
      <c r="BG119" s="168">
        <f>$F26</f>
        <v>4.5</v>
      </c>
      <c r="BI119" s="191">
        <f>BI117</f>
        <v>180</v>
      </c>
      <c r="BK119" s="242">
        <f>$J26</f>
        <v>208.56143250213083</v>
      </c>
      <c r="BL119" s="191"/>
      <c r="BM119" s="243">
        <f>$M26</f>
        <v>938.52644625958874</v>
      </c>
      <c r="BN119" s="244"/>
      <c r="BO119" s="244">
        <f>IF(BI104=0,0,(BM119/BI104)*100)</f>
        <v>170.64117204719795</v>
      </c>
      <c r="BP119" s="244"/>
      <c r="BS119" s="206" t="s">
        <v>404</v>
      </c>
      <c r="BU119" s="168">
        <f>$D26</f>
        <v>40</v>
      </c>
      <c r="BW119" s="168">
        <f>$F26</f>
        <v>4.5</v>
      </c>
      <c r="BY119" s="191">
        <f>BY117</f>
        <v>180</v>
      </c>
      <c r="CA119" s="242">
        <f>$J26</f>
        <v>208.56143250213083</v>
      </c>
      <c r="CB119" s="191"/>
      <c r="CC119" s="243">
        <f>$M26</f>
        <v>938.52644625958874</v>
      </c>
      <c r="CD119" s="244"/>
      <c r="CE119" s="244">
        <f>IF(BY104=0,0,(CC119/BY104)*100)</f>
        <v>163.22199065384152</v>
      </c>
      <c r="CF119" s="244"/>
      <c r="CI119" s="206" t="s">
        <v>404</v>
      </c>
      <c r="CK119" s="168">
        <f>$D26</f>
        <v>40</v>
      </c>
      <c r="CM119" s="168">
        <f>$F26</f>
        <v>4.5</v>
      </c>
      <c r="CO119" s="191">
        <f>CO117</f>
        <v>180</v>
      </c>
      <c r="CQ119" s="242">
        <f>$J26</f>
        <v>208.56143250213083</v>
      </c>
      <c r="CR119" s="191"/>
      <c r="CS119" s="243">
        <f>$M26</f>
        <v>938.52644625958874</v>
      </c>
      <c r="CT119" s="244"/>
      <c r="CU119" s="244">
        <f>IF(CO104=0,0,(CS119/CO104)*100)</f>
        <v>156.42107437659811</v>
      </c>
      <c r="CV119" s="244"/>
      <c r="CY119" s="206" t="s">
        <v>404</v>
      </c>
      <c r="DA119" s="168">
        <f>$D26</f>
        <v>40</v>
      </c>
      <c r="DC119" s="168">
        <f>$F26</f>
        <v>4.5</v>
      </c>
      <c r="DE119" s="191">
        <f>DE117</f>
        <v>180</v>
      </c>
      <c r="DG119" s="242">
        <f>$J26</f>
        <v>208.56143250213083</v>
      </c>
      <c r="DH119" s="191"/>
      <c r="DI119" s="243">
        <f>$M26</f>
        <v>938.52644625958874</v>
      </c>
      <c r="DJ119" s="244"/>
      <c r="DK119" s="244">
        <f>IF(DE104=0,0,(DI119/DE104)*100)</f>
        <v>150.16423140153418</v>
      </c>
      <c r="DL119" s="244"/>
      <c r="DO119" s="206" t="s">
        <v>404</v>
      </c>
      <c r="DQ119" s="168">
        <f>$D26</f>
        <v>40</v>
      </c>
      <c r="DS119" s="168">
        <f>$F26</f>
        <v>4.5</v>
      </c>
      <c r="DU119" s="191">
        <f>DU117</f>
        <v>180</v>
      </c>
      <c r="DW119" s="242">
        <f>$J26</f>
        <v>208.56143250213083</v>
      </c>
      <c r="DX119" s="191"/>
      <c r="DY119" s="243">
        <f>$M26</f>
        <v>938.52644625958874</v>
      </c>
      <c r="DZ119" s="244"/>
      <c r="EA119" s="244">
        <f>IF(DU104=0,0,(DY119/DU104)*100)</f>
        <v>144.38868403993672</v>
      </c>
      <c r="EB119" s="244"/>
      <c r="EE119" s="206" t="s">
        <v>404</v>
      </c>
      <c r="EG119" s="168">
        <f>$D26</f>
        <v>40</v>
      </c>
      <c r="EI119" s="168">
        <f>$F26</f>
        <v>4.5</v>
      </c>
      <c r="EK119" s="191">
        <f>EK117</f>
        <v>180</v>
      </c>
      <c r="EM119" s="242">
        <f>$J26</f>
        <v>208.56143250213083</v>
      </c>
      <c r="EN119" s="191"/>
      <c r="EO119" s="243">
        <f>$M26</f>
        <v>938.52644625958874</v>
      </c>
      <c r="EP119" s="244"/>
      <c r="EQ119" s="244">
        <f>IF(EK104=0,0,(EO119/EK104)*100)</f>
        <v>139.04095500142054</v>
      </c>
      <c r="ER119" s="244"/>
      <c r="EU119" s="206" t="s">
        <v>404</v>
      </c>
      <c r="EW119" s="168">
        <f>$D26</f>
        <v>40</v>
      </c>
      <c r="EY119" s="168">
        <f>$F26</f>
        <v>4.5</v>
      </c>
      <c r="FA119" s="191">
        <f>FA117</f>
        <v>180</v>
      </c>
      <c r="FC119" s="242">
        <f>$J26</f>
        <v>208.56143250213083</v>
      </c>
      <c r="FD119" s="191"/>
      <c r="FE119" s="243">
        <f>$M26</f>
        <v>938.52644625958874</v>
      </c>
      <c r="FF119" s="244"/>
      <c r="FG119" s="244">
        <f>IF(FA104=0,0,(FE119/FA104)*100)</f>
        <v>134.0752066085127</v>
      </c>
      <c r="FH119" s="244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</row>
    <row r="120" spans="1:256" s="168" customFormat="1" x14ac:dyDescent="0.2">
      <c r="A120" s="869"/>
      <c r="B120" s="923"/>
      <c r="C120" s="923"/>
      <c r="D120" s="923"/>
      <c r="E120" s="923"/>
      <c r="F120" s="923"/>
      <c r="G120" s="923"/>
      <c r="H120" s="923"/>
      <c r="I120" s="923"/>
      <c r="J120" s="923"/>
      <c r="K120" s="923"/>
      <c r="L120" s="923"/>
      <c r="M120" s="923"/>
      <c r="N120" s="923"/>
      <c r="O120" s="923"/>
      <c r="P120" s="923"/>
      <c r="Q120" s="912"/>
      <c r="R120" s="913"/>
      <c r="S120" s="167"/>
      <c r="W120" s="206" t="s">
        <v>406</v>
      </c>
      <c r="AE120" s="242"/>
      <c r="AF120" s="191"/>
      <c r="AG120" s="243">
        <f>$M27</f>
        <v>262.73154808362273</v>
      </c>
      <c r="AH120" s="244"/>
      <c r="AI120" s="244">
        <f>IF(AC104=0,0,(AG120/AC104))*100</f>
        <v>52.546309616724542</v>
      </c>
      <c r="AJ120" s="244"/>
      <c r="AM120" s="206" t="s">
        <v>406</v>
      </c>
      <c r="AU120" s="242"/>
      <c r="AV120" s="191"/>
      <c r="AW120" s="243">
        <f>$M27</f>
        <v>262.73154808362273</v>
      </c>
      <c r="AX120" s="244"/>
      <c r="AY120" s="244">
        <f>IF(AS104=0,0,(AW120/AS104))*100</f>
        <v>50.04410439688052</v>
      </c>
      <c r="AZ120" s="244"/>
      <c r="BC120" s="206" t="s">
        <v>406</v>
      </c>
      <c r="BK120" s="242"/>
      <c r="BL120" s="191"/>
      <c r="BM120" s="243">
        <f>$M27</f>
        <v>262.73154808362273</v>
      </c>
      <c r="BN120" s="244"/>
      <c r="BO120" s="244">
        <f>IF(BI104=0,0,(BM120/BI104))*100</f>
        <v>47.769372378840494</v>
      </c>
      <c r="BP120" s="244"/>
      <c r="BS120" s="206" t="s">
        <v>406</v>
      </c>
      <c r="CA120" s="242"/>
      <c r="CB120" s="191"/>
      <c r="CC120" s="243">
        <f>$M27</f>
        <v>262.73154808362273</v>
      </c>
      <c r="CD120" s="244"/>
      <c r="CE120" s="244">
        <f>IF(BY104=0,0,(CC120/BY104))*100</f>
        <v>45.692443144977865</v>
      </c>
      <c r="CF120" s="244"/>
      <c r="CI120" s="206" t="s">
        <v>406</v>
      </c>
      <c r="CQ120" s="242"/>
      <c r="CR120" s="191"/>
      <c r="CS120" s="243">
        <f>$M27</f>
        <v>262.73154808362273</v>
      </c>
      <c r="CT120" s="244"/>
      <c r="CU120" s="244">
        <f>IF(CO104=0,0,(CS120/CO104))*100</f>
        <v>43.788591347270454</v>
      </c>
      <c r="CV120" s="244"/>
      <c r="CY120" s="206" t="s">
        <v>406</v>
      </c>
      <c r="DG120" s="242"/>
      <c r="DH120" s="191"/>
      <c r="DI120" s="243">
        <f>$M27</f>
        <v>262.73154808362273</v>
      </c>
      <c r="DJ120" s="244"/>
      <c r="DK120" s="244">
        <f>IF(DE104=0,0,(DI120/DE104))*100</f>
        <v>42.037047693379634</v>
      </c>
      <c r="DL120" s="244"/>
      <c r="DO120" s="206" t="s">
        <v>406</v>
      </c>
      <c r="DW120" s="242"/>
      <c r="DX120" s="191"/>
      <c r="DY120" s="243">
        <f>$M27</f>
        <v>262.73154808362273</v>
      </c>
      <c r="DZ120" s="244"/>
      <c r="EA120" s="244">
        <f>IF(DU104=0,0,(DY120/DU104))*100</f>
        <v>40.420238166711187</v>
      </c>
      <c r="EB120" s="244"/>
      <c r="EE120" s="206" t="s">
        <v>406</v>
      </c>
      <c r="EM120" s="242"/>
      <c r="EN120" s="191"/>
      <c r="EO120" s="243">
        <f>$M27</f>
        <v>262.73154808362273</v>
      </c>
      <c r="EP120" s="244"/>
      <c r="EQ120" s="244">
        <f>IF(EK104=0,0,(EO120/EK104))*100</f>
        <v>38.923192308684854</v>
      </c>
      <c r="ER120" s="244"/>
      <c r="EU120" s="206" t="s">
        <v>406</v>
      </c>
      <c r="FC120" s="242"/>
      <c r="FD120" s="191"/>
      <c r="FE120" s="243">
        <f>$M27</f>
        <v>262.73154808362273</v>
      </c>
      <c r="FF120" s="244"/>
      <c r="FG120" s="244">
        <f>IF(FA104=0,0,(FE120/FA104))*100</f>
        <v>37.533078297660389</v>
      </c>
      <c r="FH120" s="244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</row>
    <row r="121" spans="1:256" s="168" customFormat="1" ht="12.75" x14ac:dyDescent="0.2">
      <c r="A121" s="869"/>
      <c r="B121" s="923"/>
      <c r="C121" s="923"/>
      <c r="D121" s="923"/>
      <c r="E121" s="923"/>
      <c r="F121" s="923"/>
      <c r="G121" s="923"/>
      <c r="H121" s="923"/>
      <c r="I121" s="923"/>
      <c r="J121" s="923"/>
      <c r="K121" s="923"/>
      <c r="L121" s="923"/>
      <c r="M121" s="923"/>
      <c r="N121" s="923"/>
      <c r="O121" s="923"/>
      <c r="P121" s="923"/>
      <c r="Q121" s="912"/>
      <c r="R121" s="913"/>
      <c r="S121" s="167"/>
      <c r="W121" s="206" t="s">
        <v>407</v>
      </c>
      <c r="AG121" s="243">
        <f>$M28</f>
        <v>312.30066416801952</v>
      </c>
      <c r="AH121" s="267"/>
      <c r="AI121" s="244">
        <f>IF(AC104=0,0,AG121/AC104*100)</f>
        <v>62.460132833603907</v>
      </c>
      <c r="AJ121" s="244"/>
      <c r="AM121" s="206" t="s">
        <v>407</v>
      </c>
      <c r="AW121" s="243">
        <f>$M28</f>
        <v>312.30066416801952</v>
      </c>
      <c r="AX121" s="267"/>
      <c r="AY121" s="244">
        <f>IF(AS104=0,0,AW121/AS104*100)</f>
        <v>59.485840793908487</v>
      </c>
      <c r="AZ121" s="244"/>
      <c r="BC121" s="206" t="s">
        <v>407</v>
      </c>
      <c r="BM121" s="243">
        <f>$M28</f>
        <v>312.30066416801952</v>
      </c>
      <c r="BN121" s="267"/>
      <c r="BO121" s="244">
        <f>IF(BI104=0,0,BM121/BI104*100)</f>
        <v>56.781938939639907</v>
      </c>
      <c r="BP121" s="244"/>
      <c r="BS121" s="206" t="s">
        <v>407</v>
      </c>
      <c r="CC121" s="243">
        <f>$M28</f>
        <v>312.30066416801952</v>
      </c>
      <c r="CD121" s="267"/>
      <c r="CE121" s="244">
        <f>IF(BY104=0,0,CC121/BY104*100)</f>
        <v>54.313158985742525</v>
      </c>
      <c r="CF121" s="244"/>
      <c r="CI121" s="206" t="s">
        <v>407</v>
      </c>
      <c r="CS121" s="243">
        <f>$M28</f>
        <v>312.30066416801952</v>
      </c>
      <c r="CT121" s="267"/>
      <c r="CU121" s="244">
        <f>IF(CO104=0,0,CS121/CO104*100)</f>
        <v>52.050110694669918</v>
      </c>
      <c r="CV121" s="244"/>
      <c r="CY121" s="206" t="s">
        <v>407</v>
      </c>
      <c r="DI121" s="243">
        <f>$M28</f>
        <v>312.30066416801952</v>
      </c>
      <c r="DJ121" s="267"/>
      <c r="DK121" s="244">
        <f>IF(DE104=0,0,DI121/DE104*100)</f>
        <v>49.968106266883119</v>
      </c>
      <c r="DL121" s="244"/>
      <c r="DO121" s="206" t="s">
        <v>407</v>
      </c>
      <c r="DY121" s="243">
        <f>$M28</f>
        <v>312.30066416801952</v>
      </c>
      <c r="DZ121" s="267"/>
      <c r="EA121" s="244">
        <f>IF(DU104=0,0,DY121/DU104*100)</f>
        <v>48.046256025849161</v>
      </c>
      <c r="EB121" s="244"/>
      <c r="EE121" s="206" t="s">
        <v>407</v>
      </c>
      <c r="EO121" s="243">
        <f>$M28</f>
        <v>312.30066416801952</v>
      </c>
      <c r="EP121" s="267"/>
      <c r="EQ121" s="244">
        <f>IF(EK104=0,0,EO121/EK104*100)</f>
        <v>46.266765061928815</v>
      </c>
      <c r="ER121" s="244"/>
      <c r="EU121" s="206" t="s">
        <v>407</v>
      </c>
      <c r="FE121" s="243">
        <f>$M28</f>
        <v>312.30066416801952</v>
      </c>
      <c r="FF121" s="267"/>
      <c r="FG121" s="244">
        <f>IF(FA104=0,0,FE121/FA104*100)</f>
        <v>44.614380595431356</v>
      </c>
      <c r="FH121" s="244"/>
      <c r="HI121" s="162"/>
      <c r="HJ121" s="162"/>
      <c r="HK121" s="162"/>
      <c r="HL121" s="162"/>
      <c r="HM121" s="162"/>
      <c r="HN121" s="162"/>
      <c r="HO121" s="162"/>
      <c r="HP121" s="162"/>
      <c r="HQ121" s="162"/>
      <c r="HR121" s="162"/>
      <c r="HS121" s="162"/>
      <c r="HT121" s="162"/>
      <c r="HU121" s="162"/>
      <c r="HV121" s="162"/>
      <c r="HW121" s="162"/>
      <c r="HX121" s="162"/>
      <c r="HY121" s="162"/>
      <c r="HZ121" s="162"/>
      <c r="IA121" s="162"/>
      <c r="IB121" s="162"/>
      <c r="IC121" s="162"/>
      <c r="ID121" s="162"/>
      <c r="IE121" s="162"/>
      <c r="IF121" s="162"/>
      <c r="IG121" s="162"/>
      <c r="IH121" s="162"/>
      <c r="II121" s="162"/>
      <c r="IJ121" s="162"/>
      <c r="IK121" s="162"/>
      <c r="IL121" s="162"/>
      <c r="IM121" s="162"/>
      <c r="IN121" s="162"/>
      <c r="IO121" s="162"/>
      <c r="IP121" s="162"/>
      <c r="IQ121" s="162"/>
      <c r="IR121" s="162"/>
      <c r="IS121" s="162"/>
      <c r="IT121" s="162"/>
      <c r="IU121" s="162"/>
      <c r="IV121" s="162"/>
    </row>
    <row r="122" spans="1:256" s="168" customFormat="1" ht="12.75" x14ac:dyDescent="0.2">
      <c r="A122" s="869"/>
      <c r="B122" s="923"/>
      <c r="C122" s="923"/>
      <c r="D122" s="923"/>
      <c r="E122" s="923"/>
      <c r="F122" s="923"/>
      <c r="G122" s="923"/>
      <c r="H122" s="923"/>
      <c r="I122" s="923"/>
      <c r="J122" s="923"/>
      <c r="K122" s="923"/>
      <c r="L122" s="923"/>
      <c r="M122" s="923"/>
      <c r="N122" s="923"/>
      <c r="O122" s="923"/>
      <c r="P122" s="923"/>
      <c r="Q122" s="912"/>
      <c r="R122" s="913"/>
      <c r="S122" s="167"/>
      <c r="W122" s="198" t="s">
        <v>408</v>
      </c>
      <c r="X122" s="262"/>
      <c r="Y122" s="262">
        <f>SUM(Y117:Y119)</f>
        <v>80</v>
      </c>
      <c r="AE122" s="191"/>
      <c r="AF122" s="191"/>
      <c r="AG122" s="243"/>
      <c r="AH122" s="267"/>
      <c r="AI122" s="244"/>
      <c r="AJ122" s="244"/>
      <c r="AM122" s="198" t="s">
        <v>408</v>
      </c>
      <c r="AN122" s="262"/>
      <c r="AO122" s="262">
        <f>SUM(AO117:AO119)</f>
        <v>80</v>
      </c>
      <c r="AU122" s="191"/>
      <c r="AV122" s="191"/>
      <c r="AW122" s="243"/>
      <c r="AX122" s="267"/>
      <c r="AY122" s="244"/>
      <c r="AZ122" s="244"/>
      <c r="BC122" s="198" t="s">
        <v>408</v>
      </c>
      <c r="BD122" s="262"/>
      <c r="BE122" s="262">
        <f>SUM(BE117:BE119)</f>
        <v>80</v>
      </c>
      <c r="BK122" s="191"/>
      <c r="BL122" s="191"/>
      <c r="BM122" s="243"/>
      <c r="BN122" s="267"/>
      <c r="BO122" s="244"/>
      <c r="BP122" s="244"/>
      <c r="BS122" s="198" t="s">
        <v>408</v>
      </c>
      <c r="BT122" s="262"/>
      <c r="BU122" s="262">
        <f>SUM(BU117:BU119)</f>
        <v>80</v>
      </c>
      <c r="CA122" s="191"/>
      <c r="CB122" s="191"/>
      <c r="CC122" s="243"/>
      <c r="CD122" s="267"/>
      <c r="CE122" s="244"/>
      <c r="CF122" s="244"/>
      <c r="CI122" s="198" t="s">
        <v>408</v>
      </c>
      <c r="CJ122" s="262"/>
      <c r="CK122" s="262">
        <f>SUM(CK117:CK119)</f>
        <v>80</v>
      </c>
      <c r="CQ122" s="191"/>
      <c r="CR122" s="191"/>
      <c r="CS122" s="243"/>
      <c r="CT122" s="267"/>
      <c r="CU122" s="244"/>
      <c r="CV122" s="244"/>
      <c r="CY122" s="198" t="s">
        <v>408</v>
      </c>
      <c r="CZ122" s="262"/>
      <c r="DA122" s="262">
        <f>SUM(DA117:DA119)</f>
        <v>80</v>
      </c>
      <c r="DG122" s="191"/>
      <c r="DH122" s="191"/>
      <c r="DI122" s="243"/>
      <c r="DJ122" s="267"/>
      <c r="DK122" s="244"/>
      <c r="DL122" s="244"/>
      <c r="DO122" s="198" t="s">
        <v>408</v>
      </c>
      <c r="DP122" s="262"/>
      <c r="DQ122" s="262">
        <f>SUM(DQ117:DQ119)</f>
        <v>80</v>
      </c>
      <c r="DW122" s="191"/>
      <c r="DX122" s="191"/>
      <c r="DY122" s="243"/>
      <c r="DZ122" s="267"/>
      <c r="EA122" s="244"/>
      <c r="EB122" s="244"/>
      <c r="EE122" s="198" t="s">
        <v>408</v>
      </c>
      <c r="EF122" s="262"/>
      <c r="EG122" s="262">
        <f>SUM(EG117:EG119)</f>
        <v>80</v>
      </c>
      <c r="EM122" s="191"/>
      <c r="EN122" s="191"/>
      <c r="EO122" s="243"/>
      <c r="EP122" s="267"/>
      <c r="EQ122" s="244"/>
      <c r="ER122" s="244"/>
      <c r="EU122" s="198" t="s">
        <v>408</v>
      </c>
      <c r="EV122" s="262"/>
      <c r="EW122" s="262">
        <f>SUM(EW117:EW119)</f>
        <v>80</v>
      </c>
      <c r="FC122" s="191"/>
      <c r="FD122" s="191"/>
      <c r="FE122" s="243"/>
      <c r="FF122" s="267"/>
      <c r="FG122" s="244"/>
      <c r="FH122" s="244"/>
      <c r="HI122" s="162"/>
      <c r="HJ122" s="162"/>
      <c r="HK122" s="162"/>
      <c r="HL122" s="162"/>
      <c r="HM122" s="162"/>
      <c r="HN122" s="162"/>
      <c r="HO122" s="162"/>
      <c r="HP122" s="162"/>
      <c r="HQ122" s="162"/>
      <c r="HR122" s="162"/>
      <c r="HS122" s="162"/>
      <c r="HT122" s="162"/>
      <c r="HU122" s="162"/>
      <c r="HV122" s="162"/>
      <c r="HW122" s="162"/>
      <c r="HX122" s="162"/>
      <c r="HY122" s="162"/>
      <c r="HZ122" s="162"/>
      <c r="IA122" s="162"/>
      <c r="IB122" s="162"/>
      <c r="IC122" s="162"/>
      <c r="ID122" s="162"/>
      <c r="IE122" s="162"/>
      <c r="IF122" s="162"/>
      <c r="IG122" s="162"/>
      <c r="IH122" s="162"/>
      <c r="II122" s="162"/>
      <c r="IJ122" s="162"/>
      <c r="IK122" s="162"/>
      <c r="IL122" s="162"/>
      <c r="IM122" s="162"/>
      <c r="IN122" s="162"/>
      <c r="IO122" s="162"/>
      <c r="IP122" s="162"/>
      <c r="IQ122" s="162"/>
      <c r="IR122" s="162"/>
      <c r="IS122" s="162"/>
      <c r="IT122" s="162"/>
      <c r="IU122" s="162"/>
      <c r="IV122" s="162"/>
    </row>
    <row r="123" spans="1:256" s="168" customFormat="1" x14ac:dyDescent="0.2">
      <c r="A123" s="869"/>
      <c r="B123" s="923"/>
      <c r="C123" s="923"/>
      <c r="D123" s="923"/>
      <c r="E123" s="923"/>
      <c r="F123" s="923"/>
      <c r="G123" s="923"/>
      <c r="H123" s="923"/>
      <c r="I123" s="923"/>
      <c r="J123" s="923"/>
      <c r="K123" s="923"/>
      <c r="L123" s="923"/>
      <c r="M123" s="923"/>
      <c r="N123" s="923"/>
      <c r="O123" s="923"/>
      <c r="P123" s="923"/>
      <c r="Q123" s="912"/>
      <c r="R123" s="913"/>
      <c r="S123" s="167"/>
      <c r="W123" s="198" t="s">
        <v>409</v>
      </c>
      <c r="X123" s="262"/>
      <c r="Y123" s="262">
        <f>Y116+Y122</f>
        <v>160</v>
      </c>
      <c r="AC123" s="268">
        <f>$H34</f>
        <v>1080</v>
      </c>
      <c r="AD123" s="168" t="s">
        <v>410</v>
      </c>
      <c r="AE123" s="191"/>
      <c r="AF123" s="191"/>
      <c r="AG123" s="243"/>
      <c r="AH123" s="244"/>
      <c r="AI123" s="244"/>
      <c r="AJ123" s="244"/>
      <c r="AM123" s="198" t="s">
        <v>409</v>
      </c>
      <c r="AN123" s="262"/>
      <c r="AO123" s="262">
        <f>AO116+AO122</f>
        <v>160</v>
      </c>
      <c r="AS123" s="268">
        <f>$H34</f>
        <v>1080</v>
      </c>
      <c r="AT123" s="168" t="s">
        <v>410</v>
      </c>
      <c r="AU123" s="191"/>
      <c r="AV123" s="191"/>
      <c r="AW123" s="243"/>
      <c r="AX123" s="244"/>
      <c r="AY123" s="244"/>
      <c r="AZ123" s="244"/>
      <c r="BC123" s="198" t="s">
        <v>409</v>
      </c>
      <c r="BD123" s="262"/>
      <c r="BE123" s="262">
        <f>BE116+BE122</f>
        <v>160</v>
      </c>
      <c r="BI123" s="268">
        <f>$H34</f>
        <v>1080</v>
      </c>
      <c r="BJ123" s="168" t="s">
        <v>410</v>
      </c>
      <c r="BK123" s="191"/>
      <c r="BL123" s="191"/>
      <c r="BM123" s="243"/>
      <c r="BN123" s="244"/>
      <c r="BO123" s="244"/>
      <c r="BP123" s="244"/>
      <c r="BS123" s="198" t="s">
        <v>409</v>
      </c>
      <c r="BT123" s="262"/>
      <c r="BU123" s="262">
        <f>BU116+BU122</f>
        <v>160</v>
      </c>
      <c r="BY123" s="268">
        <f>$H34</f>
        <v>1080</v>
      </c>
      <c r="BZ123" s="168" t="s">
        <v>410</v>
      </c>
      <c r="CA123" s="191"/>
      <c r="CB123" s="191"/>
      <c r="CC123" s="243"/>
      <c r="CD123" s="244"/>
      <c r="CE123" s="244"/>
      <c r="CF123" s="244"/>
      <c r="CI123" s="198" t="s">
        <v>409</v>
      </c>
      <c r="CJ123" s="262"/>
      <c r="CK123" s="262">
        <f>CK116+CK122</f>
        <v>160</v>
      </c>
      <c r="CO123" s="268">
        <f>$H34</f>
        <v>1080</v>
      </c>
      <c r="CP123" s="168" t="s">
        <v>410</v>
      </c>
      <c r="CQ123" s="191"/>
      <c r="CR123" s="191"/>
      <c r="CS123" s="243"/>
      <c r="CT123" s="244"/>
      <c r="CU123" s="244"/>
      <c r="CV123" s="244"/>
      <c r="CY123" s="198" t="s">
        <v>409</v>
      </c>
      <c r="CZ123" s="262"/>
      <c r="DA123" s="262">
        <f>DA116+DA122</f>
        <v>160</v>
      </c>
      <c r="DE123" s="268">
        <f>$H34</f>
        <v>1080</v>
      </c>
      <c r="DF123" s="168" t="s">
        <v>410</v>
      </c>
      <c r="DG123" s="191"/>
      <c r="DH123" s="191"/>
      <c r="DI123" s="243"/>
      <c r="DJ123" s="244"/>
      <c r="DK123" s="244"/>
      <c r="DL123" s="244"/>
      <c r="DO123" s="198" t="s">
        <v>409</v>
      </c>
      <c r="DP123" s="262"/>
      <c r="DQ123" s="262">
        <f>DQ116+DQ122</f>
        <v>160</v>
      </c>
      <c r="DU123" s="268">
        <f>$H34</f>
        <v>1080</v>
      </c>
      <c r="DV123" s="168" t="s">
        <v>410</v>
      </c>
      <c r="DW123" s="191"/>
      <c r="DX123" s="191"/>
      <c r="DY123" s="243"/>
      <c r="DZ123" s="244"/>
      <c r="EA123" s="244"/>
      <c r="EB123" s="244"/>
      <c r="EE123" s="198" t="s">
        <v>409</v>
      </c>
      <c r="EF123" s="262"/>
      <c r="EG123" s="262">
        <f>EG116+EG122</f>
        <v>160</v>
      </c>
      <c r="EK123" s="268">
        <f>$H34</f>
        <v>1080</v>
      </c>
      <c r="EL123" s="168" t="s">
        <v>410</v>
      </c>
      <c r="EM123" s="191"/>
      <c r="EN123" s="191"/>
      <c r="EO123" s="243"/>
      <c r="EP123" s="244"/>
      <c r="EQ123" s="244"/>
      <c r="ER123" s="244"/>
      <c r="EU123" s="198" t="s">
        <v>409</v>
      </c>
      <c r="EV123" s="262"/>
      <c r="EW123" s="262">
        <f>EW116+EW122</f>
        <v>160</v>
      </c>
      <c r="FA123" s="268">
        <f>$H34</f>
        <v>1080</v>
      </c>
      <c r="FB123" s="168" t="s">
        <v>410</v>
      </c>
      <c r="FC123" s="191"/>
      <c r="FD123" s="191"/>
      <c r="FE123" s="243"/>
      <c r="FF123" s="244"/>
      <c r="FG123" s="244"/>
      <c r="FH123" s="244"/>
      <c r="HI123" s="162"/>
      <c r="HJ123" s="162"/>
      <c r="HK123" s="162"/>
      <c r="HL123" s="162"/>
      <c r="HM123" s="162"/>
      <c r="HN123" s="162"/>
      <c r="HO123" s="162"/>
      <c r="HP123" s="162"/>
      <c r="HQ123" s="162"/>
      <c r="HR123" s="162"/>
      <c r="HS123" s="162"/>
      <c r="HT123" s="162"/>
      <c r="HU123" s="162"/>
      <c r="HV123" s="162"/>
      <c r="HW123" s="162"/>
      <c r="HX123" s="162"/>
      <c r="HY123" s="162"/>
      <c r="HZ123" s="162"/>
      <c r="IA123" s="162"/>
      <c r="IB123" s="162"/>
      <c r="IC123" s="162"/>
      <c r="ID123" s="162"/>
      <c r="IE123" s="162"/>
      <c r="IF123" s="162"/>
      <c r="IG123" s="162"/>
      <c r="IH123" s="162"/>
      <c r="II123" s="162"/>
      <c r="IJ123" s="162"/>
      <c r="IK123" s="162"/>
      <c r="IL123" s="162"/>
      <c r="IM123" s="162"/>
      <c r="IN123" s="162"/>
      <c r="IO123" s="162"/>
      <c r="IP123" s="162"/>
      <c r="IQ123" s="162"/>
      <c r="IR123" s="162"/>
      <c r="IS123" s="162"/>
      <c r="IT123" s="162"/>
      <c r="IU123" s="162"/>
      <c r="IV123" s="162"/>
    </row>
    <row r="124" spans="1:256" s="168" customFormat="1" x14ac:dyDescent="0.2">
      <c r="A124" s="869"/>
      <c r="B124" s="923"/>
      <c r="C124" s="923"/>
      <c r="D124" s="923"/>
      <c r="E124" s="923"/>
      <c r="F124" s="923"/>
      <c r="G124" s="923"/>
      <c r="H124" s="923"/>
      <c r="I124" s="923"/>
      <c r="J124" s="923"/>
      <c r="K124" s="923"/>
      <c r="L124" s="923"/>
      <c r="M124" s="923"/>
      <c r="N124" s="923"/>
      <c r="O124" s="923"/>
      <c r="P124" s="923"/>
      <c r="Q124" s="912"/>
      <c r="R124" s="913"/>
      <c r="S124" s="167"/>
      <c r="W124" s="206" t="s">
        <v>380</v>
      </c>
      <c r="Y124" s="262">
        <f>$D35</f>
        <v>0</v>
      </c>
      <c r="AC124" s="269"/>
      <c r="AE124" s="191"/>
      <c r="AF124" s="191"/>
      <c r="AG124" s="243"/>
      <c r="AH124" s="244"/>
      <c r="AI124" s="244"/>
      <c r="AJ124" s="244"/>
      <c r="AM124" s="206" t="s">
        <v>380</v>
      </c>
      <c r="AO124" s="262">
        <f>$D35</f>
        <v>0</v>
      </c>
      <c r="AS124" s="269"/>
      <c r="AU124" s="191"/>
      <c r="AV124" s="191"/>
      <c r="AW124" s="243"/>
      <c r="AX124" s="244"/>
      <c r="AY124" s="244"/>
      <c r="AZ124" s="244"/>
      <c r="BC124" s="206" t="s">
        <v>380</v>
      </c>
      <c r="BE124" s="262">
        <f>$D35</f>
        <v>0</v>
      </c>
      <c r="BI124" s="269"/>
      <c r="BK124" s="191"/>
      <c r="BL124" s="191"/>
      <c r="BM124" s="243"/>
      <c r="BN124" s="244"/>
      <c r="BO124" s="244"/>
      <c r="BP124" s="244"/>
      <c r="BS124" s="206" t="s">
        <v>380</v>
      </c>
      <c r="BU124" s="262">
        <f>$D35</f>
        <v>0</v>
      </c>
      <c r="BY124" s="269"/>
      <c r="CA124" s="191"/>
      <c r="CB124" s="191"/>
      <c r="CC124" s="243"/>
      <c r="CD124" s="244"/>
      <c r="CE124" s="244"/>
      <c r="CF124" s="244"/>
      <c r="CI124" s="206" t="s">
        <v>380</v>
      </c>
      <c r="CK124" s="262">
        <f>$D35</f>
        <v>0</v>
      </c>
      <c r="CO124" s="269"/>
      <c r="CQ124" s="191"/>
      <c r="CR124" s="191"/>
      <c r="CS124" s="243"/>
      <c r="CT124" s="244"/>
      <c r="CU124" s="244"/>
      <c r="CV124" s="244"/>
      <c r="CY124" s="206" t="s">
        <v>380</v>
      </c>
      <c r="DA124" s="262">
        <f>$D35</f>
        <v>0</v>
      </c>
      <c r="DE124" s="269"/>
      <c r="DG124" s="191"/>
      <c r="DH124" s="191"/>
      <c r="DI124" s="243"/>
      <c r="DJ124" s="244"/>
      <c r="DK124" s="244"/>
      <c r="DL124" s="244"/>
      <c r="DO124" s="206" t="s">
        <v>380</v>
      </c>
      <c r="DQ124" s="262">
        <f>$D35</f>
        <v>0</v>
      </c>
      <c r="DU124" s="269"/>
      <c r="DW124" s="191"/>
      <c r="DX124" s="191"/>
      <c r="DY124" s="243"/>
      <c r="DZ124" s="244"/>
      <c r="EA124" s="244"/>
      <c r="EB124" s="244"/>
      <c r="EE124" s="206" t="s">
        <v>380</v>
      </c>
      <c r="EG124" s="262">
        <f>$D35</f>
        <v>0</v>
      </c>
      <c r="EK124" s="269"/>
      <c r="EM124" s="191"/>
      <c r="EN124" s="191"/>
      <c r="EO124" s="243"/>
      <c r="EP124" s="244"/>
      <c r="EQ124" s="244"/>
      <c r="ER124" s="244"/>
      <c r="EU124" s="206" t="s">
        <v>380</v>
      </c>
      <c r="EW124" s="262">
        <f>$D35</f>
        <v>0</v>
      </c>
      <c r="FA124" s="269"/>
      <c r="FC124" s="191"/>
      <c r="FD124" s="191"/>
      <c r="FE124" s="243"/>
      <c r="FF124" s="244"/>
      <c r="FG124" s="244"/>
      <c r="FH124" s="244"/>
      <c r="HI124" s="162"/>
      <c r="HJ124" s="162"/>
      <c r="HK124" s="162"/>
      <c r="HL124" s="162"/>
      <c r="HM124" s="162"/>
      <c r="HN124" s="162"/>
      <c r="HO124" s="162"/>
      <c r="HP124" s="162"/>
      <c r="HQ124" s="162"/>
      <c r="HR124" s="162"/>
      <c r="HS124" s="162"/>
      <c r="HT124" s="162"/>
      <c r="HU124" s="162"/>
      <c r="HV124" s="162"/>
      <c r="HW124" s="162"/>
      <c r="HX124" s="162"/>
      <c r="HY124" s="162"/>
      <c r="HZ124" s="162"/>
      <c r="IA124" s="162"/>
      <c r="IB124" s="162"/>
      <c r="IC124" s="162"/>
      <c r="ID124" s="162"/>
      <c r="IE124" s="162"/>
      <c r="IF124" s="162"/>
      <c r="IG124" s="162"/>
      <c r="IH124" s="162"/>
      <c r="II124" s="162"/>
      <c r="IJ124" s="162"/>
      <c r="IK124" s="162"/>
      <c r="IL124" s="162"/>
      <c r="IM124" s="162"/>
      <c r="IN124" s="162"/>
      <c r="IO124" s="162"/>
      <c r="IP124" s="162"/>
      <c r="IQ124" s="162"/>
      <c r="IR124" s="162"/>
      <c r="IS124" s="162"/>
      <c r="IT124" s="162"/>
      <c r="IU124" s="162"/>
      <c r="IV124" s="162"/>
    </row>
    <row r="125" spans="1:256" s="168" customFormat="1" x14ac:dyDescent="0.2">
      <c r="A125" s="869"/>
      <c r="B125" s="923"/>
      <c r="C125" s="923"/>
      <c r="D125" s="923"/>
      <c r="E125" s="923"/>
      <c r="F125" s="923"/>
      <c r="G125" s="923"/>
      <c r="H125" s="923"/>
      <c r="I125" s="923"/>
      <c r="J125" s="923"/>
      <c r="K125" s="923"/>
      <c r="L125" s="923"/>
      <c r="M125" s="923"/>
      <c r="N125" s="923"/>
      <c r="O125" s="923"/>
      <c r="P125" s="923"/>
      <c r="Q125" s="912"/>
      <c r="R125" s="913"/>
      <c r="S125" s="167"/>
      <c r="W125" s="198" t="s">
        <v>411</v>
      </c>
      <c r="X125" s="262"/>
      <c r="Y125" s="262">
        <f>SUM(Y123:Y124)</f>
        <v>160</v>
      </c>
      <c r="AE125" s="191"/>
      <c r="AF125" s="191"/>
      <c r="AG125" s="243"/>
      <c r="AH125" s="244"/>
      <c r="AI125" s="244"/>
      <c r="AJ125" s="244"/>
      <c r="AM125" s="198" t="s">
        <v>411</v>
      </c>
      <c r="AN125" s="262"/>
      <c r="AO125" s="262">
        <f>SUM(AO123:AO124)</f>
        <v>160</v>
      </c>
      <c r="AU125" s="191"/>
      <c r="AV125" s="191"/>
      <c r="AW125" s="243"/>
      <c r="AX125" s="244"/>
      <c r="AY125" s="244"/>
      <c r="AZ125" s="244"/>
      <c r="BC125" s="198" t="s">
        <v>411</v>
      </c>
      <c r="BD125" s="262"/>
      <c r="BE125" s="262">
        <f>SUM(BE123:BE124)</f>
        <v>160</v>
      </c>
      <c r="BK125" s="191"/>
      <c r="BL125" s="191"/>
      <c r="BM125" s="243"/>
      <c r="BN125" s="244"/>
      <c r="BO125" s="244"/>
      <c r="BP125" s="244"/>
      <c r="BS125" s="198" t="s">
        <v>411</v>
      </c>
      <c r="BT125" s="262"/>
      <c r="BU125" s="262">
        <f>SUM(BU123:BU124)</f>
        <v>160</v>
      </c>
      <c r="CA125" s="191"/>
      <c r="CB125" s="191"/>
      <c r="CC125" s="243"/>
      <c r="CD125" s="244"/>
      <c r="CE125" s="244"/>
      <c r="CF125" s="244"/>
      <c r="CI125" s="198" t="s">
        <v>411</v>
      </c>
      <c r="CJ125" s="262"/>
      <c r="CK125" s="262">
        <f>SUM(CK123:CK124)</f>
        <v>160</v>
      </c>
      <c r="CQ125" s="191"/>
      <c r="CR125" s="191"/>
      <c r="CS125" s="243"/>
      <c r="CT125" s="244"/>
      <c r="CU125" s="244"/>
      <c r="CV125" s="244"/>
      <c r="CY125" s="198" t="s">
        <v>411</v>
      </c>
      <c r="CZ125" s="262"/>
      <c r="DA125" s="262">
        <f>SUM(DA123:DA124)</f>
        <v>160</v>
      </c>
      <c r="DG125" s="191"/>
      <c r="DH125" s="191"/>
      <c r="DI125" s="243"/>
      <c r="DJ125" s="244"/>
      <c r="DK125" s="244"/>
      <c r="DL125" s="244"/>
      <c r="DO125" s="198" t="s">
        <v>411</v>
      </c>
      <c r="DP125" s="262"/>
      <c r="DQ125" s="262">
        <f>SUM(DQ123:DQ124)</f>
        <v>160</v>
      </c>
      <c r="DW125" s="191"/>
      <c r="DX125" s="191"/>
      <c r="DY125" s="243"/>
      <c r="DZ125" s="244"/>
      <c r="EA125" s="244"/>
      <c r="EB125" s="244"/>
      <c r="EE125" s="198" t="s">
        <v>411</v>
      </c>
      <c r="EF125" s="262"/>
      <c r="EG125" s="262">
        <f>SUM(EG123:EG124)</f>
        <v>160</v>
      </c>
      <c r="EM125" s="191"/>
      <c r="EN125" s="191"/>
      <c r="EO125" s="243"/>
      <c r="EP125" s="244"/>
      <c r="EQ125" s="244"/>
      <c r="ER125" s="244"/>
      <c r="EU125" s="198" t="s">
        <v>411</v>
      </c>
      <c r="EV125" s="262"/>
      <c r="EW125" s="262">
        <f>SUM(EW123:EW124)</f>
        <v>160</v>
      </c>
      <c r="FC125" s="191"/>
      <c r="FD125" s="191"/>
      <c r="FE125" s="243"/>
      <c r="FF125" s="244"/>
      <c r="FG125" s="244"/>
      <c r="FH125" s="244"/>
      <c r="HI125" s="162"/>
      <c r="HJ125" s="162"/>
      <c r="HK125" s="162"/>
      <c r="HL125" s="162"/>
      <c r="HM125" s="162"/>
      <c r="HN125" s="162"/>
      <c r="HO125" s="162"/>
      <c r="HP125" s="162"/>
      <c r="HQ125" s="162"/>
      <c r="HR125" s="162"/>
      <c r="HS125" s="162"/>
      <c r="HT125" s="162"/>
      <c r="HU125" s="162"/>
      <c r="HV125" s="162"/>
      <c r="HW125" s="162"/>
      <c r="HX125" s="162"/>
      <c r="HY125" s="162"/>
      <c r="HZ125" s="162"/>
      <c r="IA125" s="162"/>
      <c r="IB125" s="162"/>
      <c r="IC125" s="162"/>
      <c r="ID125" s="162"/>
      <c r="IE125" s="162"/>
      <c r="IF125" s="162"/>
      <c r="IG125" s="162"/>
      <c r="IH125" s="162"/>
      <c r="II125" s="162"/>
      <c r="IJ125" s="162"/>
      <c r="IK125" s="162"/>
      <c r="IL125" s="162"/>
      <c r="IM125" s="162"/>
      <c r="IN125" s="162"/>
      <c r="IO125" s="162"/>
      <c r="IP125" s="162"/>
      <c r="IQ125" s="162"/>
      <c r="IR125" s="162"/>
      <c r="IS125" s="162"/>
      <c r="IT125" s="162"/>
      <c r="IU125" s="162"/>
      <c r="IV125" s="162"/>
    </row>
    <row r="126" spans="1:256" s="272" customFormat="1" x14ac:dyDescent="0.2">
      <c r="A126" s="869"/>
      <c r="B126" s="923"/>
      <c r="C126" s="923"/>
      <c r="D126" s="923"/>
      <c r="E126" s="923"/>
      <c r="F126" s="923"/>
      <c r="G126" s="923"/>
      <c r="H126" s="923"/>
      <c r="I126" s="923"/>
      <c r="J126" s="923"/>
      <c r="K126" s="923"/>
      <c r="L126" s="923"/>
      <c r="M126" s="923"/>
      <c r="N126" s="923"/>
      <c r="O126" s="923"/>
      <c r="P126" s="923"/>
      <c r="Q126" s="912"/>
      <c r="R126" s="913"/>
      <c r="S126" s="167"/>
      <c r="T126" s="168"/>
      <c r="U126" s="168"/>
      <c r="V126" s="168"/>
      <c r="W126" s="271"/>
      <c r="AA126" s="273" t="s">
        <v>412</v>
      </c>
      <c r="AE126" s="274"/>
      <c r="AF126" s="274"/>
      <c r="AG126" s="275"/>
      <c r="AH126" s="244"/>
      <c r="AI126" s="244"/>
      <c r="AJ126" s="244"/>
      <c r="AK126" s="168"/>
      <c r="AL126" s="168"/>
      <c r="AM126" s="271"/>
      <c r="AQ126" s="273" t="s">
        <v>412</v>
      </c>
      <c r="AU126" s="274"/>
      <c r="AV126" s="274"/>
      <c r="AW126" s="275"/>
      <c r="AX126" s="244"/>
      <c r="AY126" s="244"/>
      <c r="AZ126" s="244"/>
      <c r="BA126" s="168"/>
      <c r="BB126" s="168"/>
      <c r="BC126" s="271"/>
      <c r="BG126" s="273" t="s">
        <v>412</v>
      </c>
      <c r="BK126" s="274"/>
      <c r="BL126" s="274"/>
      <c r="BM126" s="275"/>
      <c r="BN126" s="244"/>
      <c r="BO126" s="244"/>
      <c r="BP126" s="244"/>
      <c r="BQ126" s="168"/>
      <c r="BR126" s="168"/>
      <c r="BS126" s="271"/>
      <c r="BW126" s="273" t="s">
        <v>412</v>
      </c>
      <c r="CA126" s="274"/>
      <c r="CB126" s="274"/>
      <c r="CC126" s="275"/>
      <c r="CD126" s="244"/>
      <c r="CE126" s="244"/>
      <c r="CF126" s="244"/>
      <c r="CG126" s="168"/>
      <c r="CH126" s="168"/>
      <c r="CI126" s="271"/>
      <c r="CM126" s="273" t="s">
        <v>412</v>
      </c>
      <c r="CQ126" s="274"/>
      <c r="CR126" s="274"/>
      <c r="CS126" s="275"/>
      <c r="CT126" s="244"/>
      <c r="CU126" s="244"/>
      <c r="CV126" s="244"/>
      <c r="CW126" s="168"/>
      <c r="CX126" s="168"/>
      <c r="CY126" s="271"/>
      <c r="DC126" s="273" t="s">
        <v>412</v>
      </c>
      <c r="DG126" s="274"/>
      <c r="DH126" s="274"/>
      <c r="DI126" s="275"/>
      <c r="DJ126" s="244"/>
      <c r="DK126" s="244"/>
      <c r="DL126" s="244"/>
      <c r="DM126" s="168"/>
      <c r="DN126" s="168"/>
      <c r="DO126" s="271"/>
      <c r="DS126" s="273" t="s">
        <v>412</v>
      </c>
      <c r="DW126" s="274"/>
      <c r="DX126" s="274"/>
      <c r="DY126" s="275"/>
      <c r="DZ126" s="244"/>
      <c r="EA126" s="244"/>
      <c r="EB126" s="244"/>
      <c r="EC126" s="168"/>
      <c r="ED126" s="168"/>
      <c r="EE126" s="271"/>
      <c r="EI126" s="273" t="s">
        <v>412</v>
      </c>
      <c r="EM126" s="274"/>
      <c r="EN126" s="274"/>
      <c r="EO126" s="275"/>
      <c r="EP126" s="244"/>
      <c r="EQ126" s="244"/>
      <c r="ER126" s="244"/>
      <c r="ES126" s="168"/>
      <c r="ET126" s="168"/>
      <c r="EU126" s="271"/>
      <c r="EY126" s="273" t="s">
        <v>412</v>
      </c>
      <c r="FC126" s="274"/>
      <c r="FD126" s="274"/>
      <c r="FE126" s="275"/>
      <c r="FF126" s="244"/>
      <c r="FG126" s="244"/>
      <c r="FH126" s="244"/>
      <c r="FI126" s="168"/>
      <c r="FJ126" s="168"/>
      <c r="FK126" s="168"/>
      <c r="FL126" s="168"/>
      <c r="FM126" s="168"/>
      <c r="FN126" s="168"/>
      <c r="FO126" s="168"/>
      <c r="FP126" s="168"/>
      <c r="FQ126" s="168"/>
      <c r="FR126" s="168"/>
      <c r="FS126" s="168"/>
      <c r="FT126" s="168"/>
      <c r="FU126" s="168"/>
      <c r="FV126" s="168"/>
      <c r="FW126" s="168"/>
      <c r="FX126" s="168"/>
      <c r="FY126" s="168"/>
      <c r="FZ126" s="168"/>
      <c r="GA126" s="168"/>
      <c r="GB126" s="168"/>
      <c r="GC126" s="168"/>
      <c r="GD126" s="168"/>
      <c r="GE126" s="168"/>
      <c r="GF126" s="168"/>
      <c r="GG126" s="168"/>
      <c r="GH126" s="168"/>
      <c r="GI126" s="168"/>
      <c r="GJ126" s="168"/>
      <c r="GK126" s="168"/>
      <c r="GL126" s="168"/>
      <c r="GM126" s="168"/>
      <c r="GN126" s="168"/>
      <c r="GO126" s="168"/>
      <c r="GP126" s="168"/>
      <c r="GQ126" s="168"/>
      <c r="GR126" s="168"/>
      <c r="GS126" s="168"/>
      <c r="GT126" s="168"/>
      <c r="GU126" s="168"/>
      <c r="GV126" s="168"/>
      <c r="GW126" s="168"/>
      <c r="GX126" s="168"/>
      <c r="GY126" s="168"/>
      <c r="GZ126" s="168"/>
      <c r="HA126" s="168"/>
      <c r="HB126" s="168"/>
      <c r="HC126" s="168"/>
      <c r="HD126" s="168"/>
      <c r="HE126" s="168"/>
      <c r="HF126" s="168"/>
      <c r="HG126" s="168"/>
      <c r="HH126" s="168"/>
      <c r="HI126" s="162"/>
      <c r="HJ126" s="162"/>
      <c r="HK126" s="162"/>
      <c r="HL126" s="162"/>
      <c r="HM126" s="162"/>
      <c r="HN126" s="162"/>
      <c r="HO126" s="162"/>
      <c r="HP126" s="162"/>
      <c r="HQ126" s="162"/>
      <c r="HR126" s="162"/>
      <c r="HS126" s="162"/>
      <c r="HT126" s="162"/>
      <c r="HU126" s="162"/>
      <c r="HV126" s="162"/>
      <c r="HW126" s="162"/>
      <c r="HX126" s="162"/>
      <c r="HY126" s="162"/>
      <c r="HZ126" s="162"/>
      <c r="IA126" s="162"/>
      <c r="IB126" s="162"/>
      <c r="IC126" s="162"/>
      <c r="ID126" s="162"/>
      <c r="IE126" s="162"/>
      <c r="IF126" s="162"/>
      <c r="IG126" s="162"/>
      <c r="IH126" s="162"/>
      <c r="II126" s="162"/>
      <c r="IJ126" s="162"/>
      <c r="IK126" s="162"/>
      <c r="IL126" s="162"/>
      <c r="IM126" s="162"/>
      <c r="IN126" s="162"/>
      <c r="IO126" s="162"/>
      <c r="IP126" s="162"/>
      <c r="IQ126" s="162"/>
      <c r="IR126" s="162"/>
      <c r="IS126" s="162"/>
      <c r="IT126" s="162"/>
      <c r="IU126" s="162"/>
      <c r="IV126" s="162"/>
    </row>
    <row r="127" spans="1:256" s="187" customFormat="1" x14ac:dyDescent="0.2">
      <c r="A127" s="869"/>
      <c r="B127" s="923"/>
      <c r="C127" s="923"/>
      <c r="D127" s="923"/>
      <c r="E127" s="923"/>
      <c r="F127" s="923"/>
      <c r="G127" s="923"/>
      <c r="H127" s="923"/>
      <c r="I127" s="923"/>
      <c r="J127" s="923"/>
      <c r="K127" s="923"/>
      <c r="L127" s="923"/>
      <c r="M127" s="923"/>
      <c r="N127" s="923"/>
      <c r="O127" s="923"/>
      <c r="P127" s="923"/>
      <c r="Q127" s="912"/>
      <c r="R127" s="913"/>
      <c r="S127" s="167"/>
      <c r="T127" s="168"/>
      <c r="U127" s="168"/>
      <c r="V127" s="168"/>
      <c r="W127" s="276" t="s">
        <v>414</v>
      </c>
      <c r="AE127" s="277"/>
      <c r="AF127" s="277"/>
      <c r="AG127" s="278"/>
      <c r="AH127" s="279"/>
      <c r="AI127" s="279"/>
      <c r="AJ127" s="279"/>
      <c r="AK127" s="168"/>
      <c r="AL127" s="168"/>
      <c r="AM127" s="276" t="s">
        <v>414</v>
      </c>
      <c r="AU127" s="277"/>
      <c r="AV127" s="277"/>
      <c r="AW127" s="278"/>
      <c r="AX127" s="279"/>
      <c r="AY127" s="279"/>
      <c r="AZ127" s="279"/>
      <c r="BA127" s="168"/>
      <c r="BB127" s="168"/>
      <c r="BC127" s="276" t="s">
        <v>414</v>
      </c>
      <c r="BK127" s="277"/>
      <c r="BL127" s="277"/>
      <c r="BM127" s="278"/>
      <c r="BN127" s="279"/>
      <c r="BO127" s="279"/>
      <c r="BP127" s="279"/>
      <c r="BQ127" s="168"/>
      <c r="BR127" s="168"/>
      <c r="BS127" s="276" t="s">
        <v>414</v>
      </c>
      <c r="CA127" s="277"/>
      <c r="CB127" s="277"/>
      <c r="CC127" s="278"/>
      <c r="CD127" s="279"/>
      <c r="CE127" s="279"/>
      <c r="CF127" s="279"/>
      <c r="CG127" s="168"/>
      <c r="CH127" s="168"/>
      <c r="CI127" s="276" t="s">
        <v>414</v>
      </c>
      <c r="CQ127" s="277"/>
      <c r="CR127" s="277"/>
      <c r="CS127" s="278"/>
      <c r="CT127" s="279"/>
      <c r="CU127" s="279"/>
      <c r="CV127" s="279"/>
      <c r="CW127" s="168"/>
      <c r="CX127" s="168"/>
      <c r="CY127" s="276" t="s">
        <v>414</v>
      </c>
      <c r="DG127" s="277"/>
      <c r="DH127" s="277"/>
      <c r="DI127" s="278"/>
      <c r="DJ127" s="279"/>
      <c r="DK127" s="279"/>
      <c r="DL127" s="279"/>
      <c r="DM127" s="168"/>
      <c r="DN127" s="168"/>
      <c r="DO127" s="276" t="s">
        <v>414</v>
      </c>
      <c r="DW127" s="277"/>
      <c r="DX127" s="277"/>
      <c r="DY127" s="278"/>
      <c r="DZ127" s="279"/>
      <c r="EA127" s="279"/>
      <c r="EB127" s="279"/>
      <c r="EC127" s="168"/>
      <c r="ED127" s="168"/>
      <c r="EE127" s="276" t="s">
        <v>414</v>
      </c>
      <c r="EM127" s="277"/>
      <c r="EN127" s="277"/>
      <c r="EO127" s="278"/>
      <c r="EP127" s="279"/>
      <c r="EQ127" s="279"/>
      <c r="ER127" s="279"/>
      <c r="ES127" s="168"/>
      <c r="ET127" s="168"/>
      <c r="EU127" s="276" t="s">
        <v>414</v>
      </c>
      <c r="FC127" s="277"/>
      <c r="FD127" s="277"/>
      <c r="FE127" s="278"/>
      <c r="FF127" s="279"/>
      <c r="FG127" s="279"/>
      <c r="FH127" s="279"/>
      <c r="FI127" s="168"/>
      <c r="FJ127" s="168"/>
      <c r="FK127" s="168"/>
      <c r="FL127" s="168"/>
      <c r="FM127" s="168"/>
      <c r="FN127" s="168"/>
      <c r="FO127" s="168"/>
      <c r="FP127" s="168"/>
      <c r="FQ127" s="168"/>
      <c r="FR127" s="168"/>
      <c r="FS127" s="168"/>
      <c r="FT127" s="168"/>
      <c r="FU127" s="168"/>
      <c r="FV127" s="168"/>
      <c r="FW127" s="168"/>
      <c r="FX127" s="168"/>
      <c r="FY127" s="168"/>
      <c r="FZ127" s="168"/>
      <c r="GA127" s="168"/>
      <c r="GB127" s="168"/>
      <c r="GC127" s="168"/>
      <c r="GD127" s="168"/>
      <c r="GE127" s="168"/>
      <c r="GF127" s="168"/>
      <c r="GG127" s="168"/>
      <c r="GH127" s="168"/>
      <c r="GI127" s="168"/>
      <c r="GJ127" s="168"/>
      <c r="GK127" s="168"/>
      <c r="GL127" s="168"/>
      <c r="GM127" s="168"/>
      <c r="GN127" s="168"/>
      <c r="GO127" s="168"/>
      <c r="GP127" s="168"/>
      <c r="GQ127" s="168"/>
      <c r="GR127" s="168"/>
      <c r="GS127" s="168"/>
      <c r="GT127" s="168"/>
      <c r="GU127" s="168"/>
      <c r="GV127" s="168"/>
      <c r="GW127" s="168"/>
      <c r="GX127" s="168"/>
      <c r="GY127" s="168"/>
      <c r="GZ127" s="168"/>
      <c r="HA127" s="168"/>
      <c r="HB127" s="168"/>
      <c r="HC127" s="168"/>
      <c r="HD127" s="168"/>
      <c r="HE127" s="168"/>
      <c r="HF127" s="168"/>
      <c r="HG127" s="168"/>
      <c r="HH127" s="168"/>
      <c r="HI127" s="162"/>
      <c r="HJ127" s="162"/>
      <c r="HK127" s="162"/>
      <c r="HL127" s="162"/>
      <c r="HM127" s="162"/>
      <c r="HN127" s="162"/>
      <c r="HO127" s="162"/>
      <c r="HP127" s="162"/>
      <c r="HQ127" s="162"/>
      <c r="HR127" s="162"/>
      <c r="HS127" s="162"/>
      <c r="HT127" s="162"/>
      <c r="HU127" s="162"/>
      <c r="HV127" s="162"/>
      <c r="HW127" s="162"/>
      <c r="HX127" s="162"/>
      <c r="HY127" s="162"/>
      <c r="HZ127" s="162"/>
      <c r="IA127" s="162"/>
      <c r="IB127" s="162"/>
      <c r="IC127" s="162"/>
      <c r="ID127" s="162"/>
      <c r="IE127" s="162"/>
      <c r="IF127" s="162"/>
      <c r="IG127" s="162"/>
      <c r="IH127" s="162"/>
      <c r="II127" s="162"/>
      <c r="IJ127" s="162"/>
      <c r="IK127" s="162"/>
      <c r="IL127" s="162"/>
      <c r="IM127" s="162"/>
      <c r="IN127" s="162"/>
      <c r="IO127" s="162"/>
      <c r="IP127" s="162"/>
      <c r="IQ127" s="162"/>
      <c r="IR127" s="162"/>
      <c r="IS127" s="162"/>
      <c r="IT127" s="162"/>
      <c r="IU127" s="162"/>
      <c r="IV127" s="162"/>
    </row>
    <row r="128" spans="1:256" s="168" customFormat="1" x14ac:dyDescent="0.2">
      <c r="A128" s="869"/>
      <c r="B128" s="923"/>
      <c r="C128" s="923"/>
      <c r="D128" s="923"/>
      <c r="E128" s="923"/>
      <c r="F128" s="923"/>
      <c r="G128" s="923"/>
      <c r="H128" s="923"/>
      <c r="I128" s="923"/>
      <c r="J128" s="923"/>
      <c r="K128" s="923"/>
      <c r="L128" s="923"/>
      <c r="M128" s="923"/>
      <c r="N128" s="923"/>
      <c r="O128" s="923"/>
      <c r="P128" s="923"/>
      <c r="Q128" s="912"/>
      <c r="R128" s="913"/>
      <c r="S128" s="167"/>
      <c r="W128" s="206" t="s">
        <v>416</v>
      </c>
      <c r="AE128" s="191"/>
      <c r="AF128" s="191"/>
      <c r="AG128" s="192">
        <f>$M39</f>
        <v>20.571428571428573</v>
      </c>
      <c r="AH128" s="244">
        <f>IF(AC103=0,0,(AG128/AC103)*100)</f>
        <v>4.1142857142857148</v>
      </c>
      <c r="AI128" s="244">
        <f>IF(AC104=0,0,(AG128/AC104)*100)</f>
        <v>4.1142857142857148</v>
      </c>
      <c r="AJ128" s="244">
        <f>IF(AC105=0,0,(AG128/AC105)*100)</f>
        <v>4.1142857142857148</v>
      </c>
      <c r="AM128" s="206" t="s">
        <v>416</v>
      </c>
      <c r="AU128" s="191"/>
      <c r="AV128" s="191"/>
      <c r="AW128" s="192">
        <f>$M39</f>
        <v>20.571428571428573</v>
      </c>
      <c r="AX128" s="244">
        <f>IF(AS103=0,0,(AW128/AS103)*100)</f>
        <v>3.9183673469387759</v>
      </c>
      <c r="AY128" s="244">
        <f>IF(AS104=0,0,(AW128/AS104)*100)</f>
        <v>3.9183673469387759</v>
      </c>
      <c r="AZ128" s="244">
        <f>IF(AS105=0,0,(AW128/AS105)*100)</f>
        <v>3.9183673469387759</v>
      </c>
      <c r="BC128" s="206" t="s">
        <v>416</v>
      </c>
      <c r="BK128" s="191"/>
      <c r="BL128" s="191"/>
      <c r="BM128" s="192">
        <f>$M39</f>
        <v>20.571428571428573</v>
      </c>
      <c r="BN128" s="244">
        <f>IF(BI103=0,0,(BM128/BI103)*100)</f>
        <v>3.7402597402597402</v>
      </c>
      <c r="BO128" s="244">
        <f>IF(BI104=0,0,(BM128/BI104)*100)</f>
        <v>3.7402597402597402</v>
      </c>
      <c r="BP128" s="244">
        <f>IF(BI105=0,0,(BM128/BI105)*100)</f>
        <v>3.7402597402597402</v>
      </c>
      <c r="BS128" s="206" t="s">
        <v>416</v>
      </c>
      <c r="CA128" s="191"/>
      <c r="CB128" s="191"/>
      <c r="CC128" s="192">
        <f>$M39</f>
        <v>20.571428571428573</v>
      </c>
      <c r="CD128" s="244">
        <f>IF(BY103=0,0,(CC128/BY103)*100)</f>
        <v>3.5776397515527956</v>
      </c>
      <c r="CE128" s="244">
        <f>IF(BY104=0,0,(CC128/BY104)*100)</f>
        <v>3.5776397515527956</v>
      </c>
      <c r="CF128" s="244">
        <f>IF(BY105=0,0,(CC128/BY105)*100)</f>
        <v>3.5776397515527956</v>
      </c>
      <c r="CI128" s="206" t="s">
        <v>416</v>
      </c>
      <c r="CQ128" s="191"/>
      <c r="CR128" s="191"/>
      <c r="CS128" s="192">
        <f>$M39</f>
        <v>20.571428571428573</v>
      </c>
      <c r="CT128" s="244">
        <f>IF(CO103=0,0,(CS128/CO103)*100)</f>
        <v>3.4285714285714288</v>
      </c>
      <c r="CU128" s="244">
        <f>IF(CO104=0,0,(CS128/CO104)*100)</f>
        <v>3.4285714285714288</v>
      </c>
      <c r="CV128" s="244">
        <f>IF(CO105=0,0,(CS128/CO105)*100)</f>
        <v>3.4285714285714288</v>
      </c>
      <c r="CY128" s="206" t="s">
        <v>416</v>
      </c>
      <c r="DG128" s="191"/>
      <c r="DH128" s="191"/>
      <c r="DI128" s="192">
        <f>$M39</f>
        <v>20.571428571428573</v>
      </c>
      <c r="DJ128" s="244">
        <f>IF(DE103=0,0,(DI128/DE103)*100)</f>
        <v>3.2914285714285714</v>
      </c>
      <c r="DK128" s="244">
        <f>IF(DE104=0,0,(DI128/DE104)*100)</f>
        <v>3.2914285714285714</v>
      </c>
      <c r="DL128" s="244">
        <f>IF(DE105=0,0,(DI128/DE105)*100)</f>
        <v>3.2914285714285714</v>
      </c>
      <c r="DO128" s="206" t="s">
        <v>416</v>
      </c>
      <c r="DW128" s="191"/>
      <c r="DX128" s="191"/>
      <c r="DY128" s="192">
        <f>$M39</f>
        <v>20.571428571428573</v>
      </c>
      <c r="DZ128" s="244">
        <f>IF(DU103=0,0,(DY128/DU103)*100)</f>
        <v>3.1648351648351647</v>
      </c>
      <c r="EA128" s="244">
        <f>IF(DU104=0,0,(DY128/DU104)*100)</f>
        <v>3.1648351648351647</v>
      </c>
      <c r="EB128" s="244">
        <f>IF(DU105=0,0,(DY128/DU105)*100)</f>
        <v>3.1648351648351647</v>
      </c>
      <c r="EE128" s="206" t="s">
        <v>416</v>
      </c>
      <c r="EM128" s="191"/>
      <c r="EN128" s="191"/>
      <c r="EO128" s="192">
        <f>$M39</f>
        <v>20.571428571428573</v>
      </c>
      <c r="EP128" s="244">
        <f>IF(EK103=0,0,(EO128/EK103)*100)</f>
        <v>3.0476190476190479</v>
      </c>
      <c r="EQ128" s="244">
        <f>IF(EK104=0,0,(EO128/EK104)*100)</f>
        <v>3.0476190476190479</v>
      </c>
      <c r="ER128" s="244">
        <f>IF(EK105=0,0,(EO128/EK105)*100)</f>
        <v>3.0476190476190479</v>
      </c>
      <c r="EU128" s="206" t="s">
        <v>416</v>
      </c>
      <c r="FC128" s="191"/>
      <c r="FD128" s="191"/>
      <c r="FE128" s="192">
        <f>$M39</f>
        <v>20.571428571428573</v>
      </c>
      <c r="FF128" s="244">
        <f>IF(FA103=0,0,(FE128/FA103)*100)</f>
        <v>2.9387755102040818</v>
      </c>
      <c r="FG128" s="244">
        <f>IF(FA104=0,0,(FE128/FA104)*100)</f>
        <v>2.9387755102040818</v>
      </c>
      <c r="FH128" s="244">
        <f>IF(FA105=0,0,(FE128/FA105)*100)</f>
        <v>2.9387755102040818</v>
      </c>
      <c r="HI128" s="162"/>
      <c r="HJ128" s="162"/>
      <c r="HK128" s="162"/>
      <c r="HL128" s="162"/>
      <c r="HM128" s="162"/>
      <c r="HN128" s="162"/>
      <c r="HO128" s="162"/>
      <c r="HP128" s="162"/>
      <c r="HQ128" s="162"/>
      <c r="HR128" s="162"/>
      <c r="HS128" s="162"/>
      <c r="HT128" s="162"/>
      <c r="HU128" s="162"/>
      <c r="HV128" s="162"/>
      <c r="HW128" s="162"/>
      <c r="HX128" s="162"/>
      <c r="HY128" s="162"/>
      <c r="HZ128" s="162"/>
      <c r="IA128" s="162"/>
      <c r="IB128" s="162"/>
      <c r="IC128" s="162"/>
      <c r="ID128" s="162"/>
      <c r="IE128" s="162"/>
      <c r="IF128" s="162"/>
      <c r="IG128" s="162"/>
      <c r="IH128" s="162"/>
      <c r="II128" s="162"/>
      <c r="IJ128" s="162"/>
      <c r="IK128" s="162"/>
      <c r="IL128" s="162"/>
      <c r="IM128" s="162"/>
      <c r="IN128" s="162"/>
      <c r="IO128" s="162"/>
      <c r="IP128" s="162"/>
      <c r="IQ128" s="162"/>
      <c r="IR128" s="162"/>
      <c r="IS128" s="162"/>
      <c r="IT128" s="162"/>
      <c r="IU128" s="162"/>
      <c r="IV128" s="162"/>
    </row>
    <row r="129" spans="1:256" s="272" customFormat="1" x14ac:dyDescent="0.2">
      <c r="A129" s="869"/>
      <c r="B129" s="923"/>
      <c r="C129" s="923"/>
      <c r="D129" s="923"/>
      <c r="E129" s="923"/>
      <c r="F129" s="923"/>
      <c r="G129" s="923"/>
      <c r="H129" s="923"/>
      <c r="I129" s="923"/>
      <c r="J129" s="923"/>
      <c r="K129" s="923"/>
      <c r="L129" s="923"/>
      <c r="M129" s="923"/>
      <c r="N129" s="923"/>
      <c r="O129" s="923"/>
      <c r="P129" s="923"/>
      <c r="Q129" s="912"/>
      <c r="R129" s="913"/>
      <c r="S129" s="167"/>
      <c r="T129" s="168"/>
      <c r="U129" s="168"/>
      <c r="V129" s="168"/>
      <c r="W129" s="271" t="s">
        <v>418</v>
      </c>
      <c r="AC129" s="272" t="e">
        <f>SUM((AF140+AG142+AG143+AG144+AG145+AG146+AG147+AG149)+(AH152+AH153+AH154+AG155+AG156+AG157+AG159)*0.6)/(Data!#REF!+1)</f>
        <v>#DIV/0!</v>
      </c>
      <c r="AE129" s="274"/>
      <c r="AF129" s="274"/>
      <c r="AG129" s="280" t="e">
        <f>$M40</f>
        <v>#DIV/0!</v>
      </c>
      <c r="AH129" s="281" t="e">
        <f>IF(AC103=0,0,AG129/AC103)*100</f>
        <v>#DIV/0!</v>
      </c>
      <c r="AI129" s="281" t="e">
        <f>IF(AC104=0,0,AG129/AC104*100)</f>
        <v>#DIV/0!</v>
      </c>
      <c r="AJ129" s="281" t="e">
        <f>IF(AC105=0,0,AG129/AC105*100)</f>
        <v>#DIV/0!</v>
      </c>
      <c r="AK129" s="168"/>
      <c r="AL129" s="168"/>
      <c r="AM129" s="271" t="s">
        <v>418</v>
      </c>
      <c r="AS129" s="272" t="e">
        <f>SUM((AV140+AW142+AW143+AW144+AW145+AW146+AW147+AW149)+(AX152+AX153+AX154+AW155+AW156+AW157+AW159)*0.6)/(Data!#REF!+1)</f>
        <v>#DIV/0!</v>
      </c>
      <c r="AU129" s="274"/>
      <c r="AV129" s="274"/>
      <c r="AW129" s="280" t="e">
        <f>$M40</f>
        <v>#DIV/0!</v>
      </c>
      <c r="AX129" s="281" t="e">
        <f>IF(AS103=0,0,AW129/AS103)*100</f>
        <v>#DIV/0!</v>
      </c>
      <c r="AY129" s="281" t="e">
        <f>IF(AS104=0,0,AW129/AS104*100)</f>
        <v>#DIV/0!</v>
      </c>
      <c r="AZ129" s="281" t="e">
        <f>IF(AS105=0,0,AW129/AS105*100)</f>
        <v>#DIV/0!</v>
      </c>
      <c r="BA129" s="168"/>
      <c r="BB129" s="168"/>
      <c r="BC129" s="271" t="s">
        <v>418</v>
      </c>
      <c r="BI129" s="272" t="e">
        <f>SUM((BL140+BM142+BM143+BM144+BM145+BM146+BM147+BM149)+(BN152+BN153+BN154+BM155+BM156+BM157+BM159)*0.6)/(Data!#REF!+1)</f>
        <v>#DIV/0!</v>
      </c>
      <c r="BK129" s="274"/>
      <c r="BL129" s="274"/>
      <c r="BM129" s="280" t="e">
        <f>$M40</f>
        <v>#DIV/0!</v>
      </c>
      <c r="BN129" s="281" t="e">
        <f>IF(BI103=0,0,BM129/BI103)*100</f>
        <v>#DIV/0!</v>
      </c>
      <c r="BO129" s="281" t="e">
        <f>IF(BI104=0,0,BM129/BI104*100)</f>
        <v>#DIV/0!</v>
      </c>
      <c r="BP129" s="281" t="e">
        <f>IF(BI105=0,0,BM129/BI105*100)</f>
        <v>#DIV/0!</v>
      </c>
      <c r="BQ129" s="168"/>
      <c r="BR129" s="168"/>
      <c r="BS129" s="271" t="s">
        <v>418</v>
      </c>
      <c r="BY129" s="272" t="e">
        <f>SUM((CB140+CC142+CC143+CC144+CC145+CC146+CC147+CC149)+(CD152+CD153+CD154+CC155+CC156+CC157+CC159)*0.6)/(Data!#REF!+1)</f>
        <v>#DIV/0!</v>
      </c>
      <c r="CA129" s="274"/>
      <c r="CB129" s="274"/>
      <c r="CC129" s="280" t="e">
        <f>$M40</f>
        <v>#DIV/0!</v>
      </c>
      <c r="CD129" s="281" t="e">
        <f>IF(BY103=0,0,CC129/BY103)*100</f>
        <v>#DIV/0!</v>
      </c>
      <c r="CE129" s="281" t="e">
        <f>IF(BY104=0,0,CC129/BY104*100)</f>
        <v>#DIV/0!</v>
      </c>
      <c r="CF129" s="281" t="e">
        <f>IF(BY105=0,0,CC129/BY105*100)</f>
        <v>#DIV/0!</v>
      </c>
      <c r="CG129" s="168"/>
      <c r="CH129" s="168"/>
      <c r="CI129" s="271" t="s">
        <v>418</v>
      </c>
      <c r="CO129" s="272" t="e">
        <f>SUM((CR140+CS142+CS143+CS144+CS145+CS146+CS147+CS149)+(CT152+CT153+CT154+CS155+CS156+CS157+CS159)*0.6)/(Data!#REF!+1)</f>
        <v>#DIV/0!</v>
      </c>
      <c r="CQ129" s="274"/>
      <c r="CR129" s="274"/>
      <c r="CS129" s="280" t="e">
        <f>$M40</f>
        <v>#DIV/0!</v>
      </c>
      <c r="CT129" s="281" t="e">
        <f>IF(CO103=0,0,CS129/CO103)*100</f>
        <v>#DIV/0!</v>
      </c>
      <c r="CU129" s="281" t="e">
        <f>IF(CO104=0,0,CS129/CO104*100)</f>
        <v>#DIV/0!</v>
      </c>
      <c r="CV129" s="281" t="e">
        <f>IF(CO105=0,0,CS129/CO105*100)</f>
        <v>#DIV/0!</v>
      </c>
      <c r="CW129" s="168"/>
      <c r="CX129" s="168"/>
      <c r="CY129" s="271" t="s">
        <v>418</v>
      </c>
      <c r="DE129" s="272" t="e">
        <f>SUM((DH140+DI142+DI143+DI144+DI145+DI146+DI147+DI149)+(DJ152+DJ153+DJ154+DI155+DI156+DI157+DI159)*0.6)/(Data!#REF!+1)</f>
        <v>#DIV/0!</v>
      </c>
      <c r="DG129" s="274"/>
      <c r="DH129" s="274"/>
      <c r="DI129" s="280" t="e">
        <f>$M40</f>
        <v>#DIV/0!</v>
      </c>
      <c r="DJ129" s="281" t="e">
        <f>IF(DE103=0,0,DI129/DE103)*100</f>
        <v>#DIV/0!</v>
      </c>
      <c r="DK129" s="281" t="e">
        <f>IF(DE104=0,0,DI129/DE104*100)</f>
        <v>#DIV/0!</v>
      </c>
      <c r="DL129" s="281" t="e">
        <f>IF(DE105=0,0,DI129/DE105*100)</f>
        <v>#DIV/0!</v>
      </c>
      <c r="DM129" s="168"/>
      <c r="DN129" s="168"/>
      <c r="DO129" s="271" t="s">
        <v>418</v>
      </c>
      <c r="DU129" s="272" t="e">
        <f>SUM((DX140+DY142+DY143+DY144+DY145+DY146+DY147+DY149)+(DZ152+DZ153+DZ154+DY155+DY156+DY157+DY159)*0.6)/(Data!#REF!+1)</f>
        <v>#DIV/0!</v>
      </c>
      <c r="DW129" s="274"/>
      <c r="DX129" s="274"/>
      <c r="DY129" s="280" t="e">
        <f>$M40</f>
        <v>#DIV/0!</v>
      </c>
      <c r="DZ129" s="281" t="e">
        <f>IF(DU103=0,0,DY129/DU103)*100</f>
        <v>#DIV/0!</v>
      </c>
      <c r="EA129" s="281" t="e">
        <f>IF(DU104=0,0,DY129/DU104*100)</f>
        <v>#DIV/0!</v>
      </c>
      <c r="EB129" s="281" t="e">
        <f>IF(DU105=0,0,DY129/DU105*100)</f>
        <v>#DIV/0!</v>
      </c>
      <c r="EC129" s="168"/>
      <c r="ED129" s="168"/>
      <c r="EE129" s="271" t="s">
        <v>418</v>
      </c>
      <c r="EK129" s="272" t="e">
        <f>SUM((EN140+EO142+EO143+EO144+EO145+EO146+EO147+EO149)+(EP152+EP153+EP154+EO155+EO156+EO157+EO159)*0.6)/(Data!#REF!+1)</f>
        <v>#DIV/0!</v>
      </c>
      <c r="EM129" s="274"/>
      <c r="EN129" s="274"/>
      <c r="EO129" s="280" t="e">
        <f>$M40</f>
        <v>#DIV/0!</v>
      </c>
      <c r="EP129" s="281" t="e">
        <f>IF(EK103=0,0,EO129/EK103)*100</f>
        <v>#DIV/0!</v>
      </c>
      <c r="EQ129" s="281" t="e">
        <f>IF(EK104=0,0,EO129/EK104*100)</f>
        <v>#DIV/0!</v>
      </c>
      <c r="ER129" s="281" t="e">
        <f>IF(EK105=0,0,EO129/EK105*100)</f>
        <v>#DIV/0!</v>
      </c>
      <c r="ES129" s="168"/>
      <c r="ET129" s="168"/>
      <c r="EU129" s="271" t="s">
        <v>418</v>
      </c>
      <c r="FA129" s="272" t="e">
        <f>SUM((FD140+FE142+FE143+FE144+FE145+FE146+FE147+FE149)+(FF152+FF153+FF154+FE155+FE156+FE157+FE159)*0.6)/(Data!#REF!+1)</f>
        <v>#DIV/0!</v>
      </c>
      <c r="FC129" s="274"/>
      <c r="FD129" s="274"/>
      <c r="FE129" s="280" t="e">
        <f>$M40</f>
        <v>#DIV/0!</v>
      </c>
      <c r="FF129" s="281" t="e">
        <f>IF(FA103=0,0,FE129/FA103)*100</f>
        <v>#DIV/0!</v>
      </c>
      <c r="FG129" s="281" t="e">
        <f>IF(FA104=0,0,FE129/FA104*100)</f>
        <v>#DIV/0!</v>
      </c>
      <c r="FH129" s="281" t="e">
        <f>IF(FA105=0,0,FE129/FA105*100)</f>
        <v>#DIV/0!</v>
      </c>
      <c r="FI129" s="168"/>
      <c r="FJ129" s="168"/>
      <c r="FK129" s="168"/>
      <c r="FL129" s="168"/>
      <c r="FM129" s="168"/>
      <c r="FN129" s="168"/>
      <c r="FO129" s="168"/>
      <c r="FP129" s="168"/>
      <c r="FQ129" s="168"/>
      <c r="FR129" s="168"/>
      <c r="FS129" s="168"/>
      <c r="FT129" s="168"/>
      <c r="FU129" s="168"/>
      <c r="FV129" s="168"/>
      <c r="FW129" s="168"/>
      <c r="FX129" s="168"/>
      <c r="FY129" s="168"/>
      <c r="FZ129" s="168"/>
      <c r="GA129" s="168"/>
      <c r="GB129" s="168"/>
      <c r="GC129" s="168"/>
      <c r="GD129" s="168"/>
      <c r="GE129" s="168"/>
      <c r="GF129" s="168"/>
      <c r="GG129" s="168"/>
      <c r="GH129" s="168"/>
      <c r="GI129" s="168"/>
      <c r="GJ129" s="168"/>
      <c r="GK129" s="168"/>
      <c r="GL129" s="168"/>
      <c r="GM129" s="168"/>
      <c r="GN129" s="168"/>
      <c r="GO129" s="168"/>
      <c r="GP129" s="168"/>
      <c r="GQ129" s="168"/>
      <c r="GR129" s="168"/>
      <c r="GS129" s="168"/>
      <c r="GT129" s="168"/>
      <c r="GU129" s="168"/>
      <c r="GV129" s="168"/>
      <c r="GW129" s="168"/>
      <c r="GX129" s="168"/>
      <c r="GY129" s="168"/>
      <c r="GZ129" s="168"/>
      <c r="HA129" s="168"/>
      <c r="HB129" s="168"/>
      <c r="HC129" s="168"/>
      <c r="HD129" s="168"/>
      <c r="HE129" s="168"/>
      <c r="HF129" s="168"/>
      <c r="HG129" s="168"/>
      <c r="HH129" s="168"/>
      <c r="HI129" s="162"/>
      <c r="HJ129" s="162"/>
      <c r="HK129" s="162"/>
      <c r="HL129" s="162"/>
      <c r="HM129" s="162"/>
      <c r="HN129" s="162"/>
      <c r="HO129" s="162"/>
      <c r="HP129" s="162"/>
      <c r="HQ129" s="162"/>
      <c r="HR129" s="162"/>
      <c r="HS129" s="162"/>
      <c r="HT129" s="162"/>
      <c r="HU129" s="162"/>
      <c r="HV129" s="162"/>
      <c r="HW129" s="162"/>
      <c r="HX129" s="162"/>
      <c r="HY129" s="162"/>
      <c r="HZ129" s="162"/>
      <c r="IA129" s="162"/>
      <c r="IB129" s="162"/>
      <c r="IC129" s="162"/>
      <c r="ID129" s="162"/>
      <c r="IE129" s="162"/>
      <c r="IF129" s="162"/>
      <c r="IG129" s="162"/>
      <c r="IH129" s="162"/>
      <c r="II129" s="162"/>
      <c r="IJ129" s="162"/>
      <c r="IK129" s="162"/>
      <c r="IL129" s="162"/>
      <c r="IM129" s="162"/>
      <c r="IN129" s="162"/>
      <c r="IO129" s="162"/>
      <c r="IP129" s="162"/>
      <c r="IQ129" s="162"/>
      <c r="IR129" s="162"/>
      <c r="IS129" s="162"/>
      <c r="IT129" s="162"/>
      <c r="IU129" s="162"/>
      <c r="IV129" s="162"/>
    </row>
    <row r="130" spans="1:256" s="187" customFormat="1" x14ac:dyDescent="0.2">
      <c r="A130" s="869"/>
      <c r="B130" s="923"/>
      <c r="C130" s="923"/>
      <c r="D130" s="923"/>
      <c r="E130" s="923"/>
      <c r="F130" s="923"/>
      <c r="G130" s="923"/>
      <c r="H130" s="923"/>
      <c r="I130" s="923"/>
      <c r="J130" s="923"/>
      <c r="K130" s="923"/>
      <c r="L130" s="923"/>
      <c r="M130" s="923"/>
      <c r="N130" s="923"/>
      <c r="O130" s="923"/>
      <c r="P130" s="923"/>
      <c r="Q130" s="912"/>
      <c r="R130" s="913"/>
      <c r="S130" s="167"/>
      <c r="T130" s="168"/>
      <c r="U130" s="168"/>
      <c r="V130" s="168"/>
      <c r="W130" s="276" t="s">
        <v>90</v>
      </c>
      <c r="AE130" s="277"/>
      <c r="AF130" s="277"/>
      <c r="AG130" s="278"/>
      <c r="AH130" s="279"/>
      <c r="AI130" s="279"/>
      <c r="AJ130" s="279"/>
      <c r="AK130" s="168"/>
      <c r="AL130" s="168"/>
      <c r="AM130" s="276" t="s">
        <v>90</v>
      </c>
      <c r="AU130" s="277"/>
      <c r="AV130" s="277"/>
      <c r="AW130" s="278"/>
      <c r="AX130" s="279"/>
      <c r="AY130" s="279"/>
      <c r="AZ130" s="279"/>
      <c r="BA130" s="168"/>
      <c r="BB130" s="168"/>
      <c r="BC130" s="276" t="s">
        <v>90</v>
      </c>
      <c r="BK130" s="277"/>
      <c r="BL130" s="277"/>
      <c r="BM130" s="278"/>
      <c r="BN130" s="279"/>
      <c r="BO130" s="279"/>
      <c r="BP130" s="279"/>
      <c r="BQ130" s="168"/>
      <c r="BR130" s="168"/>
      <c r="BS130" s="276" t="s">
        <v>90</v>
      </c>
      <c r="CA130" s="277"/>
      <c r="CB130" s="277"/>
      <c r="CC130" s="278"/>
      <c r="CD130" s="279"/>
      <c r="CE130" s="279"/>
      <c r="CF130" s="279"/>
      <c r="CG130" s="168"/>
      <c r="CH130" s="168"/>
      <c r="CI130" s="276" t="s">
        <v>90</v>
      </c>
      <c r="CQ130" s="277"/>
      <c r="CR130" s="277"/>
      <c r="CS130" s="278"/>
      <c r="CT130" s="279"/>
      <c r="CU130" s="279"/>
      <c r="CV130" s="279"/>
      <c r="CW130" s="168"/>
      <c r="CX130" s="168"/>
      <c r="CY130" s="276" t="s">
        <v>90</v>
      </c>
      <c r="DG130" s="277"/>
      <c r="DH130" s="277"/>
      <c r="DI130" s="278"/>
      <c r="DJ130" s="279"/>
      <c r="DK130" s="279"/>
      <c r="DL130" s="279"/>
      <c r="DM130" s="168"/>
      <c r="DN130" s="168"/>
      <c r="DO130" s="276" t="s">
        <v>90</v>
      </c>
      <c r="DW130" s="277"/>
      <c r="DX130" s="277"/>
      <c r="DY130" s="278"/>
      <c r="DZ130" s="279"/>
      <c r="EA130" s="279"/>
      <c r="EB130" s="279"/>
      <c r="EC130" s="168"/>
      <c r="ED130" s="168"/>
      <c r="EE130" s="276" t="s">
        <v>90</v>
      </c>
      <c r="EM130" s="277"/>
      <c r="EN130" s="277"/>
      <c r="EO130" s="278"/>
      <c r="EP130" s="279"/>
      <c r="EQ130" s="279"/>
      <c r="ER130" s="279"/>
      <c r="ES130" s="168"/>
      <c r="ET130" s="168"/>
      <c r="EU130" s="276" t="s">
        <v>90</v>
      </c>
      <c r="FC130" s="277"/>
      <c r="FD130" s="277"/>
      <c r="FE130" s="278"/>
      <c r="FF130" s="279"/>
      <c r="FG130" s="279"/>
      <c r="FH130" s="279"/>
      <c r="FI130" s="168"/>
      <c r="FJ130" s="168"/>
      <c r="FK130" s="168"/>
      <c r="FL130" s="168"/>
      <c r="FM130" s="168"/>
      <c r="FN130" s="168"/>
      <c r="FO130" s="168"/>
      <c r="FP130" s="168"/>
      <c r="FQ130" s="168"/>
      <c r="FR130" s="168"/>
      <c r="FS130" s="168"/>
      <c r="FT130" s="168"/>
      <c r="FU130" s="168"/>
      <c r="FV130" s="168"/>
      <c r="FW130" s="168"/>
      <c r="FX130" s="168"/>
      <c r="FY130" s="168"/>
      <c r="FZ130" s="168"/>
      <c r="GA130" s="168"/>
      <c r="GB130" s="168"/>
      <c r="GC130" s="168"/>
      <c r="GD130" s="168"/>
      <c r="GE130" s="168"/>
      <c r="GF130" s="168"/>
      <c r="GG130" s="168"/>
      <c r="GH130" s="168"/>
      <c r="GI130" s="168"/>
      <c r="GJ130" s="168"/>
      <c r="GK130" s="168"/>
      <c r="GL130" s="168"/>
      <c r="GM130" s="168"/>
      <c r="GN130" s="168"/>
      <c r="GO130" s="168"/>
      <c r="GP130" s="168"/>
      <c r="GQ130" s="168"/>
      <c r="GR130" s="168"/>
      <c r="GS130" s="168"/>
      <c r="GT130" s="168"/>
      <c r="GU130" s="168"/>
      <c r="GV130" s="168"/>
      <c r="GW130" s="168"/>
      <c r="GX130" s="168"/>
      <c r="GY130" s="168"/>
      <c r="GZ130" s="168"/>
      <c r="HA130" s="168"/>
      <c r="HB130" s="168"/>
      <c r="HC130" s="168"/>
      <c r="HD130" s="168"/>
      <c r="HE130" s="168"/>
      <c r="HF130" s="168"/>
      <c r="HG130" s="168"/>
      <c r="HH130" s="168"/>
      <c r="HI130" s="162"/>
      <c r="HJ130" s="162"/>
      <c r="HK130" s="162"/>
      <c r="HL130" s="162"/>
      <c r="HM130" s="162"/>
      <c r="HN130" s="162"/>
      <c r="HO130" s="162"/>
      <c r="HP130" s="162"/>
      <c r="HQ130" s="162"/>
      <c r="HR130" s="162"/>
      <c r="HS130" s="162"/>
      <c r="HT130" s="162"/>
      <c r="HU130" s="162"/>
      <c r="HV130" s="162"/>
      <c r="HW130" s="162"/>
      <c r="HX130" s="162"/>
      <c r="HY130" s="162"/>
      <c r="HZ130" s="162"/>
      <c r="IA130" s="162"/>
      <c r="IB130" s="162"/>
      <c r="IC130" s="162"/>
      <c r="ID130" s="162"/>
      <c r="IE130" s="162"/>
      <c r="IF130" s="162"/>
      <c r="IG130" s="162"/>
      <c r="IH130" s="162"/>
      <c r="II130" s="162"/>
      <c r="IJ130" s="162"/>
      <c r="IK130" s="162"/>
      <c r="IL130" s="162"/>
      <c r="IM130" s="162"/>
      <c r="IN130" s="162"/>
      <c r="IO130" s="162"/>
      <c r="IP130" s="162"/>
      <c r="IQ130" s="162"/>
      <c r="IR130" s="162"/>
      <c r="IS130" s="162"/>
      <c r="IT130" s="162"/>
      <c r="IU130" s="162"/>
      <c r="IV130" s="162"/>
    </row>
    <row r="131" spans="1:256" s="168" customFormat="1" x14ac:dyDescent="0.2">
      <c r="A131" s="869"/>
      <c r="B131" s="923"/>
      <c r="C131" s="923"/>
      <c r="D131" s="923"/>
      <c r="E131" s="923"/>
      <c r="F131" s="923"/>
      <c r="G131" s="923"/>
      <c r="H131" s="923"/>
      <c r="I131" s="923"/>
      <c r="J131" s="923"/>
      <c r="K131" s="923"/>
      <c r="L131" s="923"/>
      <c r="M131" s="923"/>
      <c r="N131" s="923"/>
      <c r="O131" s="923"/>
      <c r="P131" s="923"/>
      <c r="Q131" s="912"/>
      <c r="R131" s="913"/>
      <c r="S131" s="167"/>
      <c r="W131" s="206">
        <f>Data!HC85</f>
        <v>0</v>
      </c>
      <c r="AE131" s="191"/>
      <c r="AF131" s="191"/>
      <c r="AG131" s="192">
        <f t="shared" ref="AG131:AG139" si="45">$M42</f>
        <v>53.5</v>
      </c>
      <c r="AH131" s="244"/>
      <c r="AI131" s="244"/>
      <c r="AJ131" s="244"/>
      <c r="AM131" s="206">
        <f>Data!HS85</f>
        <v>0</v>
      </c>
      <c r="AU131" s="191"/>
      <c r="AV131" s="191"/>
      <c r="AW131" s="192">
        <f t="shared" ref="AW131:AW139" si="46">$M42</f>
        <v>53.5</v>
      </c>
      <c r="AX131" s="244"/>
      <c r="AY131" s="244"/>
      <c r="AZ131" s="244"/>
      <c r="BC131" s="206">
        <f>Data!II85</f>
        <v>0</v>
      </c>
      <c r="BK131" s="191"/>
      <c r="BL131" s="191"/>
      <c r="BM131" s="192">
        <f t="shared" ref="BM131:BM139" si="47">$M42</f>
        <v>53.5</v>
      </c>
      <c r="BN131" s="244"/>
      <c r="BO131" s="244"/>
      <c r="BP131" s="244"/>
      <c r="BS131" s="206" t="e">
        <f>Data!#REF!</f>
        <v>#REF!</v>
      </c>
      <c r="CA131" s="191"/>
      <c r="CB131" s="191"/>
      <c r="CC131" s="192">
        <f t="shared" ref="CC131:CC139" si="48">$M42</f>
        <v>53.5</v>
      </c>
      <c r="CD131" s="244"/>
      <c r="CE131" s="244"/>
      <c r="CF131" s="244"/>
      <c r="CI131" s="206" t="e">
        <f>Data!#REF!</f>
        <v>#REF!</v>
      </c>
      <c r="CQ131" s="191"/>
      <c r="CR131" s="191"/>
      <c r="CS131" s="192">
        <f t="shared" ref="CS131:CS139" si="49">$M42</f>
        <v>53.5</v>
      </c>
      <c r="CT131" s="244"/>
      <c r="CU131" s="244"/>
      <c r="CV131" s="244"/>
      <c r="CY131" s="206" t="e">
        <f>Data!#REF!</f>
        <v>#REF!</v>
      </c>
      <c r="DG131" s="191"/>
      <c r="DH131" s="191"/>
      <c r="DI131" s="192">
        <f t="shared" ref="DI131:DI139" si="50">$M42</f>
        <v>53.5</v>
      </c>
      <c r="DJ131" s="244"/>
      <c r="DK131" s="244"/>
      <c r="DL131" s="244"/>
      <c r="DO131" s="206" t="e">
        <f>Data!#REF!</f>
        <v>#REF!</v>
      </c>
      <c r="DW131" s="191"/>
      <c r="DX131" s="191"/>
      <c r="DY131" s="192">
        <f t="shared" ref="DY131:DY139" si="51">$M42</f>
        <v>53.5</v>
      </c>
      <c r="DZ131" s="244"/>
      <c r="EA131" s="244"/>
      <c r="EB131" s="244"/>
      <c r="EE131" s="206" t="e">
        <f>Data!#REF!</f>
        <v>#REF!</v>
      </c>
      <c r="EM131" s="191"/>
      <c r="EN131" s="191"/>
      <c r="EO131" s="192">
        <f t="shared" ref="EO131:EO139" si="52">$M42</f>
        <v>53.5</v>
      </c>
      <c r="EP131" s="244"/>
      <c r="EQ131" s="244"/>
      <c r="ER131" s="244"/>
      <c r="EU131" s="206" t="e">
        <f>Data!#REF!</f>
        <v>#REF!</v>
      </c>
      <c r="FC131" s="191"/>
      <c r="FD131" s="191"/>
      <c r="FE131" s="192">
        <f t="shared" ref="FE131:FE139" si="53">$M42</f>
        <v>53.5</v>
      </c>
      <c r="FF131" s="244"/>
      <c r="FG131" s="244"/>
      <c r="FH131" s="244"/>
      <c r="HI131" s="162"/>
      <c r="HJ131" s="162"/>
      <c r="HK131" s="162"/>
      <c r="HL131" s="162"/>
      <c r="HM131" s="162"/>
      <c r="HN131" s="162"/>
      <c r="HO131" s="162"/>
      <c r="HP131" s="162"/>
      <c r="HQ131" s="162"/>
      <c r="HR131" s="162"/>
      <c r="HS131" s="162"/>
      <c r="HT131" s="162"/>
      <c r="HU131" s="162"/>
      <c r="HV131" s="162"/>
      <c r="HW131" s="162"/>
      <c r="HX131" s="162"/>
      <c r="HY131" s="162"/>
      <c r="HZ131" s="162"/>
      <c r="IA131" s="162"/>
      <c r="IB131" s="162"/>
      <c r="IC131" s="162"/>
      <c r="ID131" s="162"/>
      <c r="IE131" s="162"/>
      <c r="IF131" s="162"/>
      <c r="IG131" s="162"/>
      <c r="IH131" s="162"/>
      <c r="II131" s="162"/>
      <c r="IJ131" s="162"/>
      <c r="IK131" s="162"/>
      <c r="IL131" s="162"/>
      <c r="IM131" s="162"/>
      <c r="IN131" s="162"/>
      <c r="IO131" s="162"/>
      <c r="IP131" s="162"/>
      <c r="IQ131" s="162"/>
      <c r="IR131" s="162"/>
      <c r="IS131" s="162"/>
      <c r="IT131" s="162"/>
      <c r="IU131" s="162"/>
      <c r="IV131" s="162"/>
    </row>
    <row r="132" spans="1:256" s="168" customFormat="1" x14ac:dyDescent="0.2">
      <c r="A132" s="869"/>
      <c r="B132" s="923"/>
      <c r="C132" s="923"/>
      <c r="D132" s="923"/>
      <c r="E132" s="923"/>
      <c r="F132" s="923"/>
      <c r="G132" s="923"/>
      <c r="H132" s="923"/>
      <c r="I132" s="923"/>
      <c r="J132" s="923"/>
      <c r="K132" s="923"/>
      <c r="L132" s="923"/>
      <c r="M132" s="923"/>
      <c r="N132" s="923"/>
      <c r="O132" s="923"/>
      <c r="P132" s="923"/>
      <c r="Q132" s="912"/>
      <c r="R132" s="913"/>
      <c r="S132" s="167"/>
      <c r="W132" s="206">
        <f>Data!HC86</f>
        <v>0</v>
      </c>
      <c r="AG132" s="192">
        <f t="shared" si="45"/>
        <v>149</v>
      </c>
      <c r="AH132" s="244"/>
      <c r="AI132" s="244"/>
      <c r="AJ132" s="244"/>
      <c r="AM132" s="206">
        <f>Data!HS86</f>
        <v>0</v>
      </c>
      <c r="AW132" s="192">
        <f t="shared" si="46"/>
        <v>149</v>
      </c>
      <c r="AX132" s="244"/>
      <c r="AY132" s="244"/>
      <c r="AZ132" s="244"/>
      <c r="BC132" s="206">
        <f>Data!II86</f>
        <v>0</v>
      </c>
      <c r="BM132" s="192">
        <f t="shared" si="47"/>
        <v>149</v>
      </c>
      <c r="BN132" s="244"/>
      <c r="BO132" s="244"/>
      <c r="BP132" s="244"/>
      <c r="BS132" s="206" t="e">
        <f>Data!#REF!</f>
        <v>#REF!</v>
      </c>
      <c r="CC132" s="192">
        <f t="shared" si="48"/>
        <v>149</v>
      </c>
      <c r="CD132" s="244"/>
      <c r="CE132" s="244"/>
      <c r="CF132" s="244"/>
      <c r="CI132" s="206" t="e">
        <f>Data!#REF!</f>
        <v>#REF!</v>
      </c>
      <c r="CS132" s="192">
        <f t="shared" si="49"/>
        <v>149</v>
      </c>
      <c r="CT132" s="244"/>
      <c r="CU132" s="244"/>
      <c r="CV132" s="244"/>
      <c r="CY132" s="206" t="e">
        <f>Data!#REF!</f>
        <v>#REF!</v>
      </c>
      <c r="DI132" s="192">
        <f t="shared" si="50"/>
        <v>149</v>
      </c>
      <c r="DJ132" s="244"/>
      <c r="DK132" s="244"/>
      <c r="DL132" s="244"/>
      <c r="DO132" s="206" t="e">
        <f>Data!#REF!</f>
        <v>#REF!</v>
      </c>
      <c r="DY132" s="192">
        <f t="shared" si="51"/>
        <v>149</v>
      </c>
      <c r="DZ132" s="244"/>
      <c r="EA132" s="244"/>
      <c r="EB132" s="244"/>
      <c r="EE132" s="206" t="e">
        <f>Data!#REF!</f>
        <v>#REF!</v>
      </c>
      <c r="EO132" s="192">
        <f t="shared" si="52"/>
        <v>149</v>
      </c>
      <c r="EP132" s="244"/>
      <c r="EQ132" s="244"/>
      <c r="ER132" s="244"/>
      <c r="EU132" s="206" t="e">
        <f>Data!#REF!</f>
        <v>#REF!</v>
      </c>
      <c r="FE132" s="192">
        <f t="shared" si="53"/>
        <v>149</v>
      </c>
      <c r="FF132" s="244"/>
      <c r="FG132" s="244"/>
      <c r="FH132" s="244"/>
      <c r="HI132" s="162"/>
      <c r="HJ132" s="162"/>
      <c r="HK132" s="162"/>
      <c r="HL132" s="162"/>
      <c r="HM132" s="162"/>
      <c r="HN132" s="162"/>
      <c r="HO132" s="162"/>
      <c r="HP132" s="162"/>
      <c r="HQ132" s="162"/>
      <c r="HR132" s="162"/>
      <c r="HS132" s="162"/>
      <c r="HT132" s="162"/>
      <c r="HU132" s="162"/>
      <c r="HV132" s="162"/>
      <c r="HW132" s="162"/>
      <c r="HX132" s="162"/>
      <c r="HY132" s="162"/>
      <c r="HZ132" s="162"/>
      <c r="IA132" s="162"/>
      <c r="IB132" s="162"/>
      <c r="IC132" s="162"/>
      <c r="ID132" s="162"/>
      <c r="IE132" s="162"/>
      <c r="IF132" s="162"/>
      <c r="IG132" s="162"/>
      <c r="IH132" s="162"/>
      <c r="II132" s="162"/>
      <c r="IJ132" s="162"/>
      <c r="IK132" s="162"/>
      <c r="IL132" s="162"/>
      <c r="IM132" s="162"/>
      <c r="IN132" s="162"/>
      <c r="IO132" s="162"/>
      <c r="IP132" s="162"/>
      <c r="IQ132" s="162"/>
      <c r="IR132" s="162"/>
      <c r="IS132" s="162"/>
      <c r="IT132" s="162"/>
      <c r="IU132" s="162"/>
      <c r="IV132" s="162"/>
    </row>
    <row r="133" spans="1:256" s="168" customFormat="1" x14ac:dyDescent="0.2">
      <c r="A133" s="869"/>
      <c r="B133" s="923"/>
      <c r="C133" s="923"/>
      <c r="D133" s="923"/>
      <c r="E133" s="923"/>
      <c r="F133" s="923"/>
      <c r="G133" s="923"/>
      <c r="H133" s="923"/>
      <c r="I133" s="923"/>
      <c r="J133" s="923"/>
      <c r="K133" s="923"/>
      <c r="L133" s="923"/>
      <c r="M133" s="923"/>
      <c r="N133" s="923"/>
      <c r="O133" s="923"/>
      <c r="P133" s="923"/>
      <c r="Q133" s="912"/>
      <c r="R133" s="913"/>
      <c r="S133" s="167"/>
      <c r="W133" s="206">
        <f>Data!HC87</f>
        <v>0</v>
      </c>
      <c r="AG133" s="192">
        <f t="shared" si="45"/>
        <v>0</v>
      </c>
      <c r="AH133" s="244"/>
      <c r="AI133" s="244"/>
      <c r="AJ133" s="244"/>
      <c r="AM133" s="206">
        <f>Data!HS87</f>
        <v>0</v>
      </c>
      <c r="AW133" s="192">
        <f t="shared" si="46"/>
        <v>0</v>
      </c>
      <c r="AX133" s="244"/>
      <c r="AY133" s="244"/>
      <c r="AZ133" s="244"/>
      <c r="BC133" s="206">
        <f>Data!II87</f>
        <v>0</v>
      </c>
      <c r="BM133" s="192">
        <f t="shared" si="47"/>
        <v>0</v>
      </c>
      <c r="BN133" s="244"/>
      <c r="BO133" s="244"/>
      <c r="BP133" s="244"/>
      <c r="BS133" s="206" t="e">
        <f>Data!#REF!</f>
        <v>#REF!</v>
      </c>
      <c r="CC133" s="192">
        <f t="shared" si="48"/>
        <v>0</v>
      </c>
      <c r="CD133" s="244"/>
      <c r="CE133" s="244"/>
      <c r="CF133" s="244"/>
      <c r="CI133" s="206" t="e">
        <f>Data!#REF!</f>
        <v>#REF!</v>
      </c>
      <c r="CS133" s="192">
        <f t="shared" si="49"/>
        <v>0</v>
      </c>
      <c r="CT133" s="244"/>
      <c r="CU133" s="244"/>
      <c r="CV133" s="244"/>
      <c r="CY133" s="206" t="e">
        <f>Data!#REF!</f>
        <v>#REF!</v>
      </c>
      <c r="DI133" s="192">
        <f t="shared" si="50"/>
        <v>0</v>
      </c>
      <c r="DJ133" s="244"/>
      <c r="DK133" s="244"/>
      <c r="DL133" s="244"/>
      <c r="DO133" s="206" t="e">
        <f>Data!#REF!</f>
        <v>#REF!</v>
      </c>
      <c r="DY133" s="192">
        <f t="shared" si="51"/>
        <v>0</v>
      </c>
      <c r="DZ133" s="244"/>
      <c r="EA133" s="244"/>
      <c r="EB133" s="244"/>
      <c r="EE133" s="206" t="e">
        <f>Data!#REF!</f>
        <v>#REF!</v>
      </c>
      <c r="EO133" s="192">
        <f t="shared" si="52"/>
        <v>0</v>
      </c>
      <c r="EP133" s="244"/>
      <c r="EQ133" s="244"/>
      <c r="ER133" s="244"/>
      <c r="EU133" s="206" t="e">
        <f>Data!#REF!</f>
        <v>#REF!</v>
      </c>
      <c r="FE133" s="192">
        <f t="shared" si="53"/>
        <v>0</v>
      </c>
      <c r="FF133" s="244"/>
      <c r="FG133" s="244"/>
      <c r="FH133" s="244"/>
      <c r="HI133" s="162"/>
      <c r="HJ133" s="162"/>
      <c r="HK133" s="162"/>
      <c r="HL133" s="162"/>
      <c r="HM133" s="162"/>
      <c r="HN133" s="162"/>
      <c r="HO133" s="162"/>
      <c r="HP133" s="162"/>
      <c r="HQ133" s="162"/>
      <c r="HR133" s="162"/>
      <c r="HS133" s="162"/>
      <c r="HT133" s="162"/>
      <c r="HU133" s="162"/>
      <c r="HV133" s="162"/>
      <c r="HW133" s="162"/>
      <c r="HX133" s="162"/>
      <c r="HY133" s="162"/>
      <c r="HZ133" s="162"/>
      <c r="IA133" s="162"/>
      <c r="IB133" s="162"/>
      <c r="IC133" s="162"/>
      <c r="ID133" s="162"/>
      <c r="IE133" s="162"/>
      <c r="IF133" s="162"/>
      <c r="IG133" s="162"/>
      <c r="IH133" s="162"/>
      <c r="II133" s="162"/>
      <c r="IJ133" s="162"/>
      <c r="IK133" s="162"/>
      <c r="IL133" s="162"/>
      <c r="IM133" s="162"/>
      <c r="IN133" s="162"/>
      <c r="IO133" s="162"/>
      <c r="IP133" s="162"/>
      <c r="IQ133" s="162"/>
      <c r="IR133" s="162"/>
      <c r="IS133" s="162"/>
      <c r="IT133" s="162"/>
      <c r="IU133" s="162"/>
      <c r="IV133" s="162"/>
    </row>
    <row r="134" spans="1:256" s="168" customFormat="1" x14ac:dyDescent="0.2">
      <c r="A134" s="869"/>
      <c r="B134" s="923"/>
      <c r="C134" s="923"/>
      <c r="D134" s="923"/>
      <c r="E134" s="923"/>
      <c r="F134" s="923"/>
      <c r="G134" s="923"/>
      <c r="H134" s="923"/>
      <c r="I134" s="923"/>
      <c r="J134" s="923"/>
      <c r="K134" s="923"/>
      <c r="L134" s="923"/>
      <c r="M134" s="923"/>
      <c r="N134" s="923"/>
      <c r="O134" s="923"/>
      <c r="P134" s="923"/>
      <c r="Q134" s="912"/>
      <c r="R134" s="913"/>
      <c r="S134" s="167"/>
      <c r="W134" s="206">
        <f>Data!HC88</f>
        <v>0</v>
      </c>
      <c r="AG134" s="192">
        <f t="shared" si="45"/>
        <v>0</v>
      </c>
      <c r="AH134" s="244"/>
      <c r="AI134" s="244"/>
      <c r="AJ134" s="244"/>
      <c r="AM134" s="206">
        <f>Data!HS88</f>
        <v>0</v>
      </c>
      <c r="AW134" s="192">
        <f t="shared" si="46"/>
        <v>0</v>
      </c>
      <c r="AX134" s="244"/>
      <c r="AY134" s="244"/>
      <c r="AZ134" s="244"/>
      <c r="BC134" s="206">
        <f>Data!II88</f>
        <v>0</v>
      </c>
      <c r="BM134" s="192">
        <f t="shared" si="47"/>
        <v>0</v>
      </c>
      <c r="BN134" s="244"/>
      <c r="BO134" s="244"/>
      <c r="BP134" s="244"/>
      <c r="BS134" s="206" t="e">
        <f>Data!#REF!</f>
        <v>#REF!</v>
      </c>
      <c r="CC134" s="192">
        <f t="shared" si="48"/>
        <v>0</v>
      </c>
      <c r="CD134" s="244"/>
      <c r="CE134" s="244"/>
      <c r="CF134" s="244"/>
      <c r="CI134" s="206" t="e">
        <f>Data!#REF!</f>
        <v>#REF!</v>
      </c>
      <c r="CS134" s="192">
        <f t="shared" si="49"/>
        <v>0</v>
      </c>
      <c r="CT134" s="244"/>
      <c r="CU134" s="244"/>
      <c r="CV134" s="244"/>
      <c r="CY134" s="206" t="e">
        <f>Data!#REF!</f>
        <v>#REF!</v>
      </c>
      <c r="DI134" s="192">
        <f t="shared" si="50"/>
        <v>0</v>
      </c>
      <c r="DJ134" s="244"/>
      <c r="DK134" s="244"/>
      <c r="DL134" s="244"/>
      <c r="DO134" s="206" t="e">
        <f>Data!#REF!</f>
        <v>#REF!</v>
      </c>
      <c r="DY134" s="192">
        <f t="shared" si="51"/>
        <v>0</v>
      </c>
      <c r="DZ134" s="244"/>
      <c r="EA134" s="244"/>
      <c r="EB134" s="244"/>
      <c r="EE134" s="206" t="e">
        <f>Data!#REF!</f>
        <v>#REF!</v>
      </c>
      <c r="EO134" s="192">
        <f t="shared" si="52"/>
        <v>0</v>
      </c>
      <c r="EP134" s="244"/>
      <c r="EQ134" s="244"/>
      <c r="ER134" s="244"/>
      <c r="EU134" s="206" t="e">
        <f>Data!#REF!</f>
        <v>#REF!</v>
      </c>
      <c r="FE134" s="192">
        <f t="shared" si="53"/>
        <v>0</v>
      </c>
      <c r="FF134" s="244"/>
      <c r="FG134" s="244"/>
      <c r="FH134" s="244"/>
      <c r="HI134" s="162"/>
      <c r="HJ134" s="162"/>
      <c r="HK134" s="162"/>
      <c r="HL134" s="162"/>
      <c r="HM134" s="162"/>
      <c r="HN134" s="162"/>
      <c r="HO134" s="162"/>
      <c r="HP134" s="162"/>
      <c r="HQ134" s="162"/>
      <c r="HR134" s="162"/>
      <c r="HS134" s="162"/>
      <c r="HT134" s="162"/>
      <c r="HU134" s="162"/>
      <c r="HV134" s="162"/>
      <c r="HW134" s="162"/>
      <c r="HX134" s="162"/>
      <c r="HY134" s="162"/>
      <c r="HZ134" s="162"/>
      <c r="IA134" s="162"/>
      <c r="IB134" s="162"/>
      <c r="IC134" s="162"/>
      <c r="ID134" s="162"/>
      <c r="IE134" s="162"/>
      <c r="IF134" s="162"/>
      <c r="IG134" s="162"/>
      <c r="IH134" s="162"/>
      <c r="II134" s="162"/>
      <c r="IJ134" s="162"/>
      <c r="IK134" s="162"/>
      <c r="IL134" s="162"/>
      <c r="IM134" s="162"/>
      <c r="IN134" s="162"/>
      <c r="IO134" s="162"/>
      <c r="IP134" s="162"/>
      <c r="IQ134" s="162"/>
      <c r="IR134" s="162"/>
      <c r="IS134" s="162"/>
      <c r="IT134" s="162"/>
      <c r="IU134" s="162"/>
      <c r="IV134" s="162"/>
    </row>
    <row r="135" spans="1:256" s="168" customFormat="1" x14ac:dyDescent="0.2">
      <c r="A135" s="869"/>
      <c r="B135" s="923"/>
      <c r="C135" s="923"/>
      <c r="D135" s="923"/>
      <c r="E135" s="923"/>
      <c r="F135" s="923"/>
      <c r="G135" s="923"/>
      <c r="H135" s="923"/>
      <c r="I135" s="923"/>
      <c r="J135" s="923"/>
      <c r="K135" s="923"/>
      <c r="L135" s="923"/>
      <c r="M135" s="923"/>
      <c r="N135" s="923"/>
      <c r="O135" s="923"/>
      <c r="P135" s="923"/>
      <c r="Q135" s="912"/>
      <c r="R135" s="913"/>
      <c r="S135" s="167"/>
      <c r="W135" s="206">
        <f>Data!HC90</f>
        <v>0</v>
      </c>
      <c r="AG135" s="192">
        <f t="shared" si="45"/>
        <v>16.5</v>
      </c>
      <c r="AH135" s="244"/>
      <c r="AI135" s="244"/>
      <c r="AJ135" s="244"/>
      <c r="AM135" s="206">
        <f>Data!HS90</f>
        <v>0</v>
      </c>
      <c r="AW135" s="192">
        <f t="shared" si="46"/>
        <v>16.5</v>
      </c>
      <c r="AX135" s="244"/>
      <c r="AY135" s="244"/>
      <c r="AZ135" s="244"/>
      <c r="BC135" s="206">
        <f>Data!II90</f>
        <v>0</v>
      </c>
      <c r="BM135" s="192">
        <f t="shared" si="47"/>
        <v>16.5</v>
      </c>
      <c r="BN135" s="244"/>
      <c r="BO135" s="244"/>
      <c r="BP135" s="244"/>
      <c r="BS135" s="206" t="e">
        <f>Data!#REF!</f>
        <v>#REF!</v>
      </c>
      <c r="CC135" s="192">
        <f t="shared" si="48"/>
        <v>16.5</v>
      </c>
      <c r="CD135" s="244"/>
      <c r="CE135" s="244"/>
      <c r="CF135" s="244"/>
      <c r="CI135" s="206" t="e">
        <f>Data!#REF!</f>
        <v>#REF!</v>
      </c>
      <c r="CS135" s="192">
        <f t="shared" si="49"/>
        <v>16.5</v>
      </c>
      <c r="CT135" s="244"/>
      <c r="CU135" s="244"/>
      <c r="CV135" s="244"/>
      <c r="CY135" s="206" t="e">
        <f>Data!#REF!</f>
        <v>#REF!</v>
      </c>
      <c r="DI135" s="192">
        <f t="shared" si="50"/>
        <v>16.5</v>
      </c>
      <c r="DJ135" s="244"/>
      <c r="DK135" s="244"/>
      <c r="DL135" s="244"/>
      <c r="DO135" s="206" t="e">
        <f>Data!#REF!</f>
        <v>#REF!</v>
      </c>
      <c r="DY135" s="192">
        <f t="shared" si="51"/>
        <v>16.5</v>
      </c>
      <c r="DZ135" s="244"/>
      <c r="EA135" s="244"/>
      <c r="EB135" s="244"/>
      <c r="EE135" s="206" t="e">
        <f>Data!#REF!</f>
        <v>#REF!</v>
      </c>
      <c r="EO135" s="192">
        <f t="shared" si="52"/>
        <v>16.5</v>
      </c>
      <c r="EP135" s="244"/>
      <c r="EQ135" s="244"/>
      <c r="ER135" s="244"/>
      <c r="EU135" s="206" t="e">
        <f>Data!#REF!</f>
        <v>#REF!</v>
      </c>
      <c r="FE135" s="192">
        <f t="shared" si="53"/>
        <v>16.5</v>
      </c>
      <c r="FF135" s="244"/>
      <c r="FG135" s="244"/>
      <c r="FH135" s="244"/>
      <c r="HI135" s="162"/>
      <c r="HJ135" s="162"/>
      <c r="HK135" s="162"/>
      <c r="HL135" s="162"/>
      <c r="HM135" s="162"/>
      <c r="HN135" s="162"/>
      <c r="HO135" s="162"/>
      <c r="HP135" s="162"/>
      <c r="HQ135" s="162"/>
      <c r="HR135" s="162"/>
      <c r="HS135" s="162"/>
      <c r="HT135" s="162"/>
      <c r="HU135" s="162"/>
      <c r="HV135" s="162"/>
      <c r="HW135" s="162"/>
      <c r="HX135" s="162"/>
      <c r="HY135" s="162"/>
      <c r="HZ135" s="162"/>
      <c r="IA135" s="162"/>
      <c r="IB135" s="162"/>
      <c r="IC135" s="162"/>
      <c r="ID135" s="162"/>
      <c r="IE135" s="162"/>
      <c r="IF135" s="162"/>
      <c r="IG135" s="162"/>
      <c r="IH135" s="162"/>
      <c r="II135" s="162"/>
      <c r="IJ135" s="162"/>
      <c r="IK135" s="162"/>
      <c r="IL135" s="162"/>
      <c r="IM135" s="162"/>
      <c r="IN135" s="162"/>
      <c r="IO135" s="162"/>
      <c r="IP135" s="162"/>
      <c r="IQ135" s="162"/>
      <c r="IR135" s="162"/>
      <c r="IS135" s="162"/>
      <c r="IT135" s="162"/>
      <c r="IU135" s="162"/>
      <c r="IV135" s="162"/>
    </row>
    <row r="136" spans="1:256" s="168" customFormat="1" x14ac:dyDescent="0.2">
      <c r="A136" s="869"/>
      <c r="B136" s="923"/>
      <c r="C136" s="923"/>
      <c r="D136" s="923"/>
      <c r="E136" s="923"/>
      <c r="F136" s="923"/>
      <c r="G136" s="923"/>
      <c r="H136" s="923"/>
      <c r="I136" s="923"/>
      <c r="J136" s="923"/>
      <c r="K136" s="923"/>
      <c r="L136" s="923"/>
      <c r="M136" s="923"/>
      <c r="N136" s="923"/>
      <c r="O136" s="923"/>
      <c r="P136" s="923"/>
      <c r="Q136" s="912"/>
      <c r="R136" s="913"/>
      <c r="S136" s="167"/>
      <c r="W136" s="206">
        <f>Data!HC91</f>
        <v>0</v>
      </c>
      <c r="AG136" s="192">
        <f t="shared" si="45"/>
        <v>3.7600000000000002</v>
      </c>
      <c r="AH136" s="244"/>
      <c r="AI136" s="244"/>
      <c r="AJ136" s="244"/>
      <c r="AM136" s="206">
        <f>Data!HS91</f>
        <v>0</v>
      </c>
      <c r="AW136" s="192">
        <f t="shared" si="46"/>
        <v>3.7600000000000002</v>
      </c>
      <c r="AX136" s="244"/>
      <c r="AY136" s="244"/>
      <c r="AZ136" s="244"/>
      <c r="BC136" s="206">
        <f>Data!II91</f>
        <v>0</v>
      </c>
      <c r="BM136" s="192">
        <f t="shared" si="47"/>
        <v>3.7600000000000002</v>
      </c>
      <c r="BN136" s="244"/>
      <c r="BO136" s="244"/>
      <c r="BP136" s="244"/>
      <c r="BS136" s="206" t="e">
        <f>Data!#REF!</f>
        <v>#REF!</v>
      </c>
      <c r="CC136" s="192">
        <f t="shared" si="48"/>
        <v>3.7600000000000002</v>
      </c>
      <c r="CD136" s="244"/>
      <c r="CE136" s="244"/>
      <c r="CF136" s="244"/>
      <c r="CI136" s="206" t="e">
        <f>Data!#REF!</f>
        <v>#REF!</v>
      </c>
      <c r="CS136" s="192">
        <f t="shared" si="49"/>
        <v>3.7600000000000002</v>
      </c>
      <c r="CT136" s="244"/>
      <c r="CU136" s="244"/>
      <c r="CV136" s="244"/>
      <c r="CY136" s="206" t="e">
        <f>Data!#REF!</f>
        <v>#REF!</v>
      </c>
      <c r="DI136" s="192">
        <f t="shared" si="50"/>
        <v>3.7600000000000002</v>
      </c>
      <c r="DJ136" s="244"/>
      <c r="DK136" s="244"/>
      <c r="DL136" s="244"/>
      <c r="DO136" s="206" t="e">
        <f>Data!#REF!</f>
        <v>#REF!</v>
      </c>
      <c r="DY136" s="192">
        <f t="shared" si="51"/>
        <v>3.7600000000000002</v>
      </c>
      <c r="DZ136" s="244"/>
      <c r="EA136" s="244"/>
      <c r="EB136" s="244"/>
      <c r="EE136" s="206" t="e">
        <f>Data!#REF!</f>
        <v>#REF!</v>
      </c>
      <c r="EO136" s="192">
        <f t="shared" si="52"/>
        <v>3.7600000000000002</v>
      </c>
      <c r="EP136" s="244"/>
      <c r="EQ136" s="244"/>
      <c r="ER136" s="244"/>
      <c r="EU136" s="206" t="e">
        <f>Data!#REF!</f>
        <v>#REF!</v>
      </c>
      <c r="FE136" s="192">
        <f t="shared" si="53"/>
        <v>3.7600000000000002</v>
      </c>
      <c r="FF136" s="244"/>
      <c r="FG136" s="244"/>
      <c r="FH136" s="244"/>
      <c r="HI136" s="162"/>
      <c r="HJ136" s="162"/>
      <c r="HK136" s="162"/>
      <c r="HL136" s="162"/>
      <c r="HM136" s="162"/>
      <c r="HN136" s="162"/>
      <c r="HO136" s="162"/>
      <c r="HP136" s="162"/>
      <c r="HQ136" s="162"/>
      <c r="HR136" s="162"/>
      <c r="HS136" s="162"/>
      <c r="HT136" s="162"/>
      <c r="HU136" s="162"/>
      <c r="HV136" s="162"/>
      <c r="HW136" s="162"/>
      <c r="HX136" s="162"/>
      <c r="HY136" s="162"/>
      <c r="HZ136" s="162"/>
      <c r="IA136" s="162"/>
      <c r="IB136" s="162"/>
      <c r="IC136" s="162"/>
      <c r="ID136" s="162"/>
      <c r="IE136" s="162"/>
      <c r="IF136" s="162"/>
      <c r="IG136" s="162"/>
      <c r="IH136" s="162"/>
      <c r="II136" s="162"/>
      <c r="IJ136" s="162"/>
      <c r="IK136" s="162"/>
      <c r="IL136" s="162"/>
      <c r="IM136" s="162"/>
      <c r="IN136" s="162"/>
      <c r="IO136" s="162"/>
      <c r="IP136" s="162"/>
      <c r="IQ136" s="162"/>
      <c r="IR136" s="162"/>
      <c r="IS136" s="162"/>
      <c r="IT136" s="162"/>
      <c r="IU136" s="162"/>
      <c r="IV136" s="162"/>
    </row>
    <row r="137" spans="1:256" s="168" customFormat="1" x14ac:dyDescent="0.2">
      <c r="A137" s="869"/>
      <c r="B137" s="923"/>
      <c r="C137" s="923"/>
      <c r="D137" s="923"/>
      <c r="E137" s="923"/>
      <c r="F137" s="923"/>
      <c r="G137" s="923"/>
      <c r="H137" s="923"/>
      <c r="I137" s="923"/>
      <c r="J137" s="923"/>
      <c r="K137" s="923"/>
      <c r="L137" s="923"/>
      <c r="M137" s="923"/>
      <c r="N137" s="923"/>
      <c r="O137" s="923"/>
      <c r="P137" s="923"/>
      <c r="Q137" s="912"/>
      <c r="R137" s="913"/>
      <c r="S137" s="167"/>
      <c r="W137" s="206">
        <f>Data!HC92</f>
        <v>0</v>
      </c>
      <c r="AG137" s="192">
        <f t="shared" si="45"/>
        <v>0</v>
      </c>
      <c r="AH137" s="244"/>
      <c r="AI137" s="244"/>
      <c r="AJ137" s="244"/>
      <c r="AM137" s="206">
        <f>Data!HS92</f>
        <v>0</v>
      </c>
      <c r="AW137" s="192">
        <f t="shared" si="46"/>
        <v>0</v>
      </c>
      <c r="AX137" s="244"/>
      <c r="AY137" s="244"/>
      <c r="AZ137" s="244"/>
      <c r="BC137" s="206">
        <f>Data!II92</f>
        <v>0</v>
      </c>
      <c r="BM137" s="192">
        <f t="shared" si="47"/>
        <v>0</v>
      </c>
      <c r="BN137" s="244"/>
      <c r="BO137" s="244"/>
      <c r="BP137" s="244"/>
      <c r="BS137" s="206" t="e">
        <f>Data!#REF!</f>
        <v>#REF!</v>
      </c>
      <c r="CC137" s="192">
        <f t="shared" si="48"/>
        <v>0</v>
      </c>
      <c r="CD137" s="244"/>
      <c r="CE137" s="244"/>
      <c r="CF137" s="244"/>
      <c r="CI137" s="206" t="e">
        <f>Data!#REF!</f>
        <v>#REF!</v>
      </c>
      <c r="CS137" s="192">
        <f t="shared" si="49"/>
        <v>0</v>
      </c>
      <c r="CT137" s="244"/>
      <c r="CU137" s="244"/>
      <c r="CV137" s="244"/>
      <c r="CY137" s="206" t="e">
        <f>Data!#REF!</f>
        <v>#REF!</v>
      </c>
      <c r="DI137" s="192">
        <f t="shared" si="50"/>
        <v>0</v>
      </c>
      <c r="DJ137" s="244"/>
      <c r="DK137" s="244"/>
      <c r="DL137" s="244"/>
      <c r="DO137" s="206" t="e">
        <f>Data!#REF!</f>
        <v>#REF!</v>
      </c>
      <c r="DY137" s="192">
        <f t="shared" si="51"/>
        <v>0</v>
      </c>
      <c r="DZ137" s="244"/>
      <c r="EA137" s="244"/>
      <c r="EB137" s="244"/>
      <c r="EE137" s="206" t="e">
        <f>Data!#REF!</f>
        <v>#REF!</v>
      </c>
      <c r="EO137" s="192">
        <f t="shared" si="52"/>
        <v>0</v>
      </c>
      <c r="EP137" s="244"/>
      <c r="EQ137" s="244"/>
      <c r="ER137" s="244"/>
      <c r="EU137" s="206" t="e">
        <f>Data!#REF!</f>
        <v>#REF!</v>
      </c>
      <c r="FE137" s="192">
        <f t="shared" si="53"/>
        <v>0</v>
      </c>
      <c r="FF137" s="244"/>
      <c r="FG137" s="244"/>
      <c r="FH137" s="244"/>
      <c r="HI137" s="162"/>
      <c r="HJ137" s="162"/>
      <c r="HK137" s="162"/>
      <c r="HL137" s="162"/>
      <c r="HM137" s="162"/>
      <c r="HN137" s="162"/>
      <c r="HO137" s="162"/>
      <c r="HP137" s="162"/>
      <c r="HQ137" s="162"/>
      <c r="HR137" s="162"/>
      <c r="HS137" s="162"/>
      <c r="HT137" s="162"/>
      <c r="HU137" s="162"/>
      <c r="HV137" s="162"/>
      <c r="HW137" s="162"/>
      <c r="HX137" s="162"/>
      <c r="HY137" s="162"/>
      <c r="HZ137" s="162"/>
      <c r="IA137" s="162"/>
      <c r="IB137" s="162"/>
      <c r="IC137" s="162"/>
      <c r="ID137" s="162"/>
      <c r="IE137" s="162"/>
      <c r="IF137" s="162"/>
      <c r="IG137" s="162"/>
      <c r="IH137" s="162"/>
      <c r="II137" s="162"/>
      <c r="IJ137" s="162"/>
      <c r="IK137" s="162"/>
      <c r="IL137" s="162"/>
      <c r="IM137" s="162"/>
      <c r="IN137" s="162"/>
      <c r="IO137" s="162"/>
      <c r="IP137" s="162"/>
      <c r="IQ137" s="162"/>
      <c r="IR137" s="162"/>
      <c r="IS137" s="162"/>
      <c r="IT137" s="162"/>
      <c r="IU137" s="162"/>
      <c r="IV137" s="162"/>
    </row>
    <row r="138" spans="1:256" s="168" customFormat="1" x14ac:dyDescent="0.2">
      <c r="A138" s="869"/>
      <c r="B138" s="923"/>
      <c r="C138" s="923"/>
      <c r="D138" s="923"/>
      <c r="E138" s="923"/>
      <c r="F138" s="923"/>
      <c r="G138" s="923"/>
      <c r="H138" s="923"/>
      <c r="I138" s="923"/>
      <c r="J138" s="923"/>
      <c r="K138" s="923"/>
      <c r="L138" s="923"/>
      <c r="M138" s="923"/>
      <c r="N138" s="923"/>
      <c r="O138" s="923"/>
      <c r="P138" s="923"/>
      <c r="Q138" s="912"/>
      <c r="R138" s="913"/>
      <c r="S138" s="167"/>
      <c r="W138" s="293">
        <f>Data!HC93</f>
        <v>0</v>
      </c>
      <c r="AG138" s="192">
        <f t="shared" si="45"/>
        <v>0</v>
      </c>
      <c r="AH138" s="244"/>
      <c r="AI138" s="244"/>
      <c r="AJ138" s="244"/>
      <c r="AM138" s="293">
        <f>Data!HS93</f>
        <v>0</v>
      </c>
      <c r="AW138" s="192">
        <f t="shared" si="46"/>
        <v>0</v>
      </c>
      <c r="AX138" s="244"/>
      <c r="AY138" s="244"/>
      <c r="AZ138" s="244"/>
      <c r="BC138" s="293">
        <f>Data!II93</f>
        <v>0</v>
      </c>
      <c r="BM138" s="192">
        <f t="shared" si="47"/>
        <v>0</v>
      </c>
      <c r="BN138" s="244"/>
      <c r="BO138" s="244"/>
      <c r="BP138" s="244"/>
      <c r="BS138" s="293" t="e">
        <f>Data!#REF!</f>
        <v>#REF!</v>
      </c>
      <c r="CC138" s="192">
        <f t="shared" si="48"/>
        <v>0</v>
      </c>
      <c r="CD138" s="244"/>
      <c r="CE138" s="244"/>
      <c r="CF138" s="244"/>
      <c r="CI138" s="293" t="e">
        <f>Data!#REF!</f>
        <v>#REF!</v>
      </c>
      <c r="CS138" s="192">
        <f t="shared" si="49"/>
        <v>0</v>
      </c>
      <c r="CT138" s="244"/>
      <c r="CU138" s="244"/>
      <c r="CV138" s="244"/>
      <c r="CY138" s="293" t="e">
        <f>Data!#REF!</f>
        <v>#REF!</v>
      </c>
      <c r="DI138" s="192">
        <f t="shared" si="50"/>
        <v>0</v>
      </c>
      <c r="DJ138" s="244"/>
      <c r="DK138" s="244"/>
      <c r="DL138" s="244"/>
      <c r="DO138" s="293" t="e">
        <f>Data!#REF!</f>
        <v>#REF!</v>
      </c>
      <c r="DY138" s="192">
        <f t="shared" si="51"/>
        <v>0</v>
      </c>
      <c r="DZ138" s="244"/>
      <c r="EA138" s="244"/>
      <c r="EB138" s="244"/>
      <c r="EE138" s="293" t="e">
        <f>Data!#REF!</f>
        <v>#REF!</v>
      </c>
      <c r="EO138" s="192">
        <f t="shared" si="52"/>
        <v>0</v>
      </c>
      <c r="EP138" s="244"/>
      <c r="EQ138" s="244"/>
      <c r="ER138" s="244"/>
      <c r="EU138" s="293" t="e">
        <f>Data!#REF!</f>
        <v>#REF!</v>
      </c>
      <c r="FE138" s="192">
        <f t="shared" si="53"/>
        <v>0</v>
      </c>
      <c r="FF138" s="244"/>
      <c r="FG138" s="244"/>
      <c r="FH138" s="244"/>
      <c r="HI138" s="162"/>
      <c r="HJ138" s="162"/>
      <c r="HK138" s="162"/>
      <c r="HL138" s="162"/>
      <c r="HM138" s="162"/>
      <c r="HN138" s="162"/>
      <c r="HO138" s="162"/>
      <c r="HP138" s="162"/>
      <c r="HQ138" s="162"/>
      <c r="HR138" s="162"/>
      <c r="HS138" s="162"/>
      <c r="HT138" s="162"/>
      <c r="HU138" s="162"/>
      <c r="HV138" s="162"/>
      <c r="HW138" s="162"/>
      <c r="HX138" s="162"/>
      <c r="HY138" s="162"/>
      <c r="HZ138" s="162"/>
      <c r="IA138" s="162"/>
      <c r="IB138" s="162"/>
      <c r="IC138" s="162"/>
      <c r="ID138" s="162"/>
      <c r="IE138" s="162"/>
      <c r="IF138" s="162"/>
      <c r="IG138" s="162"/>
      <c r="IH138" s="162"/>
      <c r="II138" s="162"/>
      <c r="IJ138" s="162"/>
      <c r="IK138" s="162"/>
      <c r="IL138" s="162"/>
      <c r="IM138" s="162"/>
      <c r="IN138" s="162"/>
      <c r="IO138" s="162"/>
      <c r="IP138" s="162"/>
      <c r="IQ138" s="162"/>
      <c r="IR138" s="162"/>
      <c r="IS138" s="162"/>
      <c r="IT138" s="162"/>
      <c r="IU138" s="162"/>
      <c r="IV138" s="162"/>
    </row>
    <row r="139" spans="1:256" s="168" customFormat="1" x14ac:dyDescent="0.2">
      <c r="A139" s="869"/>
      <c r="B139" s="923"/>
      <c r="C139" s="923"/>
      <c r="D139" s="923"/>
      <c r="E139" s="923"/>
      <c r="F139" s="923"/>
      <c r="G139" s="923"/>
      <c r="H139" s="923"/>
      <c r="I139" s="923"/>
      <c r="J139" s="923"/>
      <c r="K139" s="923"/>
      <c r="L139" s="923"/>
      <c r="M139" s="923"/>
      <c r="N139" s="923"/>
      <c r="O139" s="923"/>
      <c r="P139" s="923"/>
      <c r="Q139" s="912"/>
      <c r="R139" s="913"/>
      <c r="S139" s="167"/>
      <c r="W139" s="206" t="s">
        <v>420</v>
      </c>
      <c r="AG139" s="192">
        <f t="shared" si="45"/>
        <v>18</v>
      </c>
      <c r="AH139" s="244"/>
      <c r="AI139" s="244"/>
      <c r="AJ139" s="244"/>
      <c r="AM139" s="206" t="s">
        <v>420</v>
      </c>
      <c r="AW139" s="192">
        <f t="shared" si="46"/>
        <v>18</v>
      </c>
      <c r="AX139" s="244"/>
      <c r="AY139" s="244"/>
      <c r="AZ139" s="244"/>
      <c r="BC139" s="206" t="s">
        <v>420</v>
      </c>
      <c r="BM139" s="192">
        <f t="shared" si="47"/>
        <v>18</v>
      </c>
      <c r="BN139" s="244"/>
      <c r="BO139" s="244"/>
      <c r="BP139" s="244"/>
      <c r="BS139" s="206" t="s">
        <v>420</v>
      </c>
      <c r="CC139" s="192">
        <f t="shared" si="48"/>
        <v>18</v>
      </c>
      <c r="CD139" s="244"/>
      <c r="CE139" s="244"/>
      <c r="CF139" s="244"/>
      <c r="CI139" s="206" t="s">
        <v>420</v>
      </c>
      <c r="CS139" s="192">
        <f t="shared" si="49"/>
        <v>18</v>
      </c>
      <c r="CT139" s="244"/>
      <c r="CU139" s="244"/>
      <c r="CV139" s="244"/>
      <c r="CY139" s="206" t="s">
        <v>420</v>
      </c>
      <c r="DI139" s="192">
        <f t="shared" si="50"/>
        <v>18</v>
      </c>
      <c r="DJ139" s="244"/>
      <c r="DK139" s="244"/>
      <c r="DL139" s="244"/>
      <c r="DO139" s="206" t="s">
        <v>420</v>
      </c>
      <c r="DY139" s="192">
        <f t="shared" si="51"/>
        <v>18</v>
      </c>
      <c r="DZ139" s="244"/>
      <c r="EA139" s="244"/>
      <c r="EB139" s="244"/>
      <c r="EE139" s="206" t="s">
        <v>420</v>
      </c>
      <c r="EO139" s="192">
        <f t="shared" si="52"/>
        <v>18</v>
      </c>
      <c r="EP139" s="244"/>
      <c r="EQ139" s="244"/>
      <c r="ER139" s="244"/>
      <c r="EU139" s="206" t="s">
        <v>420</v>
      </c>
      <c r="FE139" s="192">
        <f t="shared" si="53"/>
        <v>18</v>
      </c>
      <c r="FF139" s="244"/>
      <c r="FG139" s="244"/>
      <c r="FH139" s="244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162"/>
      <c r="IE139" s="162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162"/>
    </row>
    <row r="140" spans="1:256" s="272" customFormat="1" ht="12.75" x14ac:dyDescent="0.2">
      <c r="A140" s="869"/>
      <c r="B140" s="923"/>
      <c r="C140" s="923"/>
      <c r="D140" s="923"/>
      <c r="E140" s="923"/>
      <c r="F140" s="923"/>
      <c r="G140" s="923"/>
      <c r="H140" s="923"/>
      <c r="I140" s="923"/>
      <c r="J140" s="923"/>
      <c r="K140" s="923"/>
      <c r="L140" s="923"/>
      <c r="M140" s="923"/>
      <c r="N140" s="923"/>
      <c r="O140" s="923"/>
      <c r="P140" s="923"/>
      <c r="Q140" s="912"/>
      <c r="R140" s="913"/>
      <c r="S140" s="167"/>
      <c r="T140" s="168"/>
      <c r="U140" s="168"/>
      <c r="V140" s="168"/>
      <c r="W140" s="271" t="s">
        <v>421</v>
      </c>
      <c r="AF140" s="280">
        <f>SUM(AG131:AG139)</f>
        <v>240.76</v>
      </c>
      <c r="AG140" s="249"/>
      <c r="AH140" s="281">
        <f>IF(AC103=0,0,(AF140/AC103)*100)</f>
        <v>48.152000000000001</v>
      </c>
      <c r="AI140" s="281">
        <f>IF(AC104=0,0,(AF140/AC104)*100)</f>
        <v>48.152000000000001</v>
      </c>
      <c r="AJ140" s="281">
        <f>IF(AC105=0,0,(AF140/AC105)*100)*Data!E94</f>
        <v>28.891199999999998</v>
      </c>
      <c r="AK140" s="168"/>
      <c r="AL140" s="168"/>
      <c r="AM140" s="271" t="s">
        <v>421</v>
      </c>
      <c r="AV140" s="280">
        <f>SUM(AW131:AW139)</f>
        <v>240.76</v>
      </c>
      <c r="AW140" s="249"/>
      <c r="AX140" s="281">
        <f>IF(AS103=0,0,(AV140/AS103)*100)</f>
        <v>45.859047619047615</v>
      </c>
      <c r="AY140" s="281">
        <f>IF(AS104=0,0,(AV140/AS104)*100)</f>
        <v>45.859047619047615</v>
      </c>
      <c r="AZ140" s="281">
        <f>IF(AS105=0,0,(AV140/AS105)*100)*Data!E94</f>
        <v>27.515428571428568</v>
      </c>
      <c r="BA140" s="168"/>
      <c r="BB140" s="168"/>
      <c r="BC140" s="271" t="s">
        <v>421</v>
      </c>
      <c r="BL140" s="280">
        <f>SUM(BM131:BM139)</f>
        <v>240.76</v>
      </c>
      <c r="BM140" s="249"/>
      <c r="BN140" s="281">
        <f>IF(BI103=0,0,(BL140/BI103)*100)</f>
        <v>43.774545454545454</v>
      </c>
      <c r="BO140" s="281">
        <f>IF(BI104=0,0,(BL140/BI104)*100)</f>
        <v>43.774545454545454</v>
      </c>
      <c r="BP140" s="281">
        <f>IF(BI105=0,0,(BL140/BI105)*100)*Data!E94</f>
        <v>26.264727272727271</v>
      </c>
      <c r="BQ140" s="168"/>
      <c r="BR140" s="168"/>
      <c r="BS140" s="271" t="s">
        <v>421</v>
      </c>
      <c r="CB140" s="280">
        <f>SUM(CC131:CC139)</f>
        <v>240.76</v>
      </c>
      <c r="CC140" s="249"/>
      <c r="CD140" s="281">
        <f>IF(BY103=0,0,(CB140/BY103)*100)</f>
        <v>41.871304347826083</v>
      </c>
      <c r="CE140" s="281">
        <f>IF(BY104=0,0,(CB140/BY104)*100)</f>
        <v>41.871304347826083</v>
      </c>
      <c r="CF140" s="281">
        <f>IF(BY105=0,0,(CB140/BY105)*100)*Data!E94</f>
        <v>25.122782608695648</v>
      </c>
      <c r="CG140" s="168"/>
      <c r="CH140" s="168"/>
      <c r="CI140" s="271" t="s">
        <v>421</v>
      </c>
      <c r="CR140" s="280">
        <f>SUM(CS131:CS139)</f>
        <v>240.76</v>
      </c>
      <c r="CS140" s="249"/>
      <c r="CT140" s="281">
        <f>IF(CO103=0,0,(CR140/CO103)*100)</f>
        <v>40.126666666666665</v>
      </c>
      <c r="CU140" s="281">
        <f>IF(CO104=0,0,(CR140/CO104)*100)</f>
        <v>40.126666666666665</v>
      </c>
      <c r="CV140" s="281">
        <f>IF(CO105=0,0,(CR140/CO105)*100)*Data!E94</f>
        <v>24.075999999999997</v>
      </c>
      <c r="CW140" s="168"/>
      <c r="CX140" s="168"/>
      <c r="CY140" s="271" t="s">
        <v>421</v>
      </c>
      <c r="DH140" s="280">
        <f>SUM(DI131:DI139)</f>
        <v>240.76</v>
      </c>
      <c r="DI140" s="249"/>
      <c r="DJ140" s="281">
        <f>IF(DE103=0,0,(DH140/DE103)*100)</f>
        <v>38.521599999999999</v>
      </c>
      <c r="DK140" s="281">
        <f>IF(DE104=0,0,(DH140/DE104)*100)</f>
        <v>38.521599999999999</v>
      </c>
      <c r="DL140" s="281">
        <f>IF(DE105=0,0,(DH140/DE105)*100)*Data!E94</f>
        <v>23.112959999999998</v>
      </c>
      <c r="DM140" s="168"/>
      <c r="DN140" s="168"/>
      <c r="DO140" s="271" t="s">
        <v>421</v>
      </c>
      <c r="DX140" s="280">
        <f>SUM(DY131:DY139)</f>
        <v>240.76</v>
      </c>
      <c r="DY140" s="249"/>
      <c r="DZ140" s="281">
        <f>IF(DU103=0,0,(DX140/DU103)*100)</f>
        <v>37.04</v>
      </c>
      <c r="EA140" s="281">
        <f>IF(DU104=0,0,(DX140/DU104)*100)</f>
        <v>37.04</v>
      </c>
      <c r="EB140" s="281">
        <f>IF(DU105=0,0,(DX140/DU105)*100)*Data!E94</f>
        <v>22.224</v>
      </c>
      <c r="EC140" s="168"/>
      <c r="ED140" s="168"/>
      <c r="EE140" s="271" t="s">
        <v>421</v>
      </c>
      <c r="EN140" s="280">
        <f>SUM(EO131:EO139)</f>
        <v>240.76</v>
      </c>
      <c r="EO140" s="249"/>
      <c r="EP140" s="281">
        <f>IF(EK103=0,0,(EN140/EK103)*100)</f>
        <v>35.668148148148148</v>
      </c>
      <c r="EQ140" s="281">
        <f>IF(EK104=0,0,(EN140/EK104)*100)</f>
        <v>35.668148148148148</v>
      </c>
      <c r="ER140" s="281">
        <f>IF(EK105=0,0,(EN140/EK105)*100)*Data!E94</f>
        <v>21.40088888888889</v>
      </c>
      <c r="ES140" s="168"/>
      <c r="ET140" s="168"/>
      <c r="EU140" s="271" t="s">
        <v>421</v>
      </c>
      <c r="FD140" s="280">
        <f>SUM(FE131:FE139)</f>
        <v>240.76</v>
      </c>
      <c r="FE140" s="249"/>
      <c r="FF140" s="281">
        <f>IF(FA103=0,0,(FD140/FA103)*100)</f>
        <v>34.394285714285708</v>
      </c>
      <c r="FG140" s="281">
        <f>IF(FA104=0,0,(FD140/FA104)*100)</f>
        <v>34.394285714285708</v>
      </c>
      <c r="FH140" s="281">
        <f>IF(FA105=0,0,(FD140/FA105)*100)*Data!E94</f>
        <v>20.636571428571425</v>
      </c>
      <c r="FI140" s="168"/>
      <c r="FJ140" s="168"/>
      <c r="FK140" s="168"/>
      <c r="FL140" s="168"/>
      <c r="FM140" s="168"/>
      <c r="FN140" s="168"/>
      <c r="FO140" s="168"/>
      <c r="FP140" s="168"/>
      <c r="FQ140" s="168"/>
      <c r="FR140" s="168"/>
      <c r="FS140" s="168"/>
      <c r="FT140" s="168"/>
      <c r="FU140" s="168"/>
      <c r="FV140" s="168"/>
      <c r="FW140" s="168"/>
      <c r="FX140" s="168"/>
      <c r="FY140" s="168"/>
      <c r="FZ140" s="168"/>
      <c r="GA140" s="168"/>
      <c r="GB140" s="168"/>
      <c r="GC140" s="168"/>
      <c r="GD140" s="168"/>
      <c r="GE140" s="168"/>
      <c r="GF140" s="168"/>
      <c r="GG140" s="168"/>
      <c r="GH140" s="168"/>
      <c r="GI140" s="168"/>
      <c r="GJ140" s="168"/>
      <c r="GK140" s="168"/>
      <c r="GL140" s="168"/>
      <c r="GM140" s="168"/>
      <c r="GN140" s="168"/>
      <c r="GO140" s="168"/>
      <c r="GP140" s="168"/>
      <c r="GQ140" s="168"/>
      <c r="GR140" s="168"/>
      <c r="GS140" s="168"/>
      <c r="GT140" s="168"/>
      <c r="GU140" s="168"/>
      <c r="GV140" s="168"/>
      <c r="GW140" s="168"/>
      <c r="GX140" s="168"/>
      <c r="GY140" s="168"/>
      <c r="GZ140" s="168"/>
      <c r="HA140" s="168"/>
      <c r="HB140" s="168"/>
      <c r="HC140" s="168"/>
      <c r="HD140" s="168"/>
      <c r="HE140" s="168"/>
      <c r="HF140" s="168"/>
      <c r="HG140" s="168"/>
      <c r="HH140" s="168"/>
      <c r="HI140" s="162"/>
      <c r="HJ140" s="162"/>
      <c r="HK140" s="162"/>
      <c r="HL140" s="162"/>
      <c r="HM140" s="162"/>
      <c r="HN140" s="162"/>
      <c r="HO140" s="162"/>
      <c r="HP140" s="162"/>
      <c r="HQ140" s="162"/>
      <c r="HR140" s="162"/>
      <c r="HS140" s="162"/>
      <c r="HT140" s="162"/>
      <c r="HU140" s="162"/>
      <c r="HV140" s="162"/>
      <c r="HW140" s="162"/>
      <c r="HX140" s="162"/>
      <c r="HY140" s="162"/>
      <c r="HZ140" s="162"/>
      <c r="IA140" s="162"/>
      <c r="IB140" s="162"/>
      <c r="IC140" s="162"/>
      <c r="ID140" s="162"/>
      <c r="IE140" s="162"/>
      <c r="IF140" s="162"/>
      <c r="IG140" s="162"/>
      <c r="IH140" s="162"/>
      <c r="II140" s="162"/>
      <c r="IJ140" s="162"/>
      <c r="IK140" s="162"/>
      <c r="IL140" s="162"/>
      <c r="IM140" s="162"/>
      <c r="IN140" s="162"/>
      <c r="IO140" s="162"/>
      <c r="IP140" s="162"/>
      <c r="IQ140" s="162"/>
      <c r="IR140" s="162"/>
      <c r="IS140" s="162"/>
      <c r="IT140" s="162"/>
      <c r="IU140" s="162"/>
      <c r="IV140" s="162"/>
    </row>
    <row r="141" spans="1:256" s="187" customFormat="1" x14ac:dyDescent="0.2">
      <c r="A141" s="869"/>
      <c r="B141" s="923"/>
      <c r="C141" s="923"/>
      <c r="D141" s="923"/>
      <c r="E141" s="923"/>
      <c r="F141" s="923"/>
      <c r="G141" s="923"/>
      <c r="H141" s="923"/>
      <c r="I141" s="923"/>
      <c r="J141" s="923"/>
      <c r="K141" s="923"/>
      <c r="L141" s="923"/>
      <c r="M141" s="923"/>
      <c r="N141" s="923"/>
      <c r="O141" s="923"/>
      <c r="P141" s="923"/>
      <c r="Q141" s="912"/>
      <c r="R141" s="913"/>
      <c r="S141" s="167"/>
      <c r="T141" s="168"/>
      <c r="U141" s="168"/>
      <c r="V141" s="168"/>
      <c r="W141" s="276" t="s">
        <v>107</v>
      </c>
      <c r="AE141" s="277"/>
      <c r="AF141" s="277"/>
      <c r="AG141" s="278"/>
      <c r="AH141" s="279"/>
      <c r="AI141" s="279"/>
      <c r="AJ141" s="279"/>
      <c r="AK141" s="168"/>
      <c r="AL141" s="168"/>
      <c r="AM141" s="276" t="s">
        <v>107</v>
      </c>
      <c r="AU141" s="277"/>
      <c r="AV141" s="277"/>
      <c r="AW141" s="278"/>
      <c r="AX141" s="279"/>
      <c r="AY141" s="279"/>
      <c r="AZ141" s="279"/>
      <c r="BA141" s="168"/>
      <c r="BB141" s="168"/>
      <c r="BC141" s="276" t="s">
        <v>107</v>
      </c>
      <c r="BK141" s="277"/>
      <c r="BL141" s="277"/>
      <c r="BM141" s="278"/>
      <c r="BN141" s="279"/>
      <c r="BO141" s="279"/>
      <c r="BP141" s="279"/>
      <c r="BQ141" s="168"/>
      <c r="BR141" s="168"/>
      <c r="BS141" s="276" t="s">
        <v>107</v>
      </c>
      <c r="CA141" s="277"/>
      <c r="CB141" s="277"/>
      <c r="CC141" s="278"/>
      <c r="CD141" s="279"/>
      <c r="CE141" s="279"/>
      <c r="CF141" s="279"/>
      <c r="CG141" s="168"/>
      <c r="CH141" s="168"/>
      <c r="CI141" s="276" t="s">
        <v>107</v>
      </c>
      <c r="CQ141" s="277"/>
      <c r="CR141" s="277"/>
      <c r="CS141" s="278"/>
      <c r="CT141" s="279"/>
      <c r="CU141" s="279"/>
      <c r="CV141" s="279"/>
      <c r="CW141" s="168"/>
      <c r="CX141" s="168"/>
      <c r="CY141" s="276" t="s">
        <v>107</v>
      </c>
      <c r="DG141" s="277"/>
      <c r="DH141" s="277"/>
      <c r="DI141" s="278"/>
      <c r="DJ141" s="279"/>
      <c r="DK141" s="279"/>
      <c r="DL141" s="279"/>
      <c r="DM141" s="168"/>
      <c r="DN141" s="168"/>
      <c r="DO141" s="276" t="s">
        <v>107</v>
      </c>
      <c r="DW141" s="277"/>
      <c r="DX141" s="277"/>
      <c r="DY141" s="278"/>
      <c r="DZ141" s="279"/>
      <c r="EA141" s="279"/>
      <c r="EB141" s="279"/>
      <c r="EC141" s="168"/>
      <c r="ED141" s="168"/>
      <c r="EE141" s="276" t="s">
        <v>107</v>
      </c>
      <c r="EM141" s="277"/>
      <c r="EN141" s="277"/>
      <c r="EO141" s="278"/>
      <c r="EP141" s="279"/>
      <c r="EQ141" s="279"/>
      <c r="ER141" s="279"/>
      <c r="ES141" s="168"/>
      <c r="ET141" s="168"/>
      <c r="EU141" s="276" t="s">
        <v>107</v>
      </c>
      <c r="FC141" s="277"/>
      <c r="FD141" s="277"/>
      <c r="FE141" s="278"/>
      <c r="FF141" s="279"/>
      <c r="FG141" s="279"/>
      <c r="FH141" s="279"/>
      <c r="FI141" s="168"/>
      <c r="FJ141" s="168"/>
      <c r="FK141" s="168"/>
      <c r="FL141" s="168"/>
      <c r="FM141" s="168"/>
      <c r="FN141" s="168"/>
      <c r="FO141" s="168"/>
      <c r="FP141" s="168"/>
      <c r="FQ141" s="168"/>
      <c r="FR141" s="168"/>
      <c r="FS141" s="168"/>
      <c r="FT141" s="168"/>
      <c r="FU141" s="168"/>
      <c r="FV141" s="168"/>
      <c r="FW141" s="168"/>
      <c r="FX141" s="168"/>
      <c r="FY141" s="168"/>
      <c r="FZ141" s="168"/>
      <c r="GA141" s="168"/>
      <c r="GB141" s="168"/>
      <c r="GC141" s="168"/>
      <c r="GD141" s="168"/>
      <c r="GE141" s="168"/>
      <c r="GF141" s="168"/>
      <c r="GG141" s="168"/>
      <c r="GH141" s="168"/>
      <c r="GI141" s="168"/>
      <c r="GJ141" s="168"/>
      <c r="GK141" s="168"/>
      <c r="GL141" s="168"/>
      <c r="GM141" s="168"/>
      <c r="GN141" s="168"/>
      <c r="GO141" s="168"/>
      <c r="GP141" s="168"/>
      <c r="GQ141" s="168"/>
      <c r="GR141" s="168"/>
      <c r="GS141" s="168"/>
      <c r="GT141" s="168"/>
      <c r="GU141" s="168"/>
      <c r="GV141" s="168"/>
      <c r="GW141" s="168"/>
      <c r="GX141" s="168"/>
      <c r="GY141" s="168"/>
      <c r="GZ141" s="168"/>
      <c r="HA141" s="168"/>
      <c r="HB141" s="168"/>
      <c r="HC141" s="168"/>
      <c r="HD141" s="168"/>
      <c r="HE141" s="168"/>
      <c r="HF141" s="168"/>
      <c r="HG141" s="168"/>
      <c r="HH141" s="168"/>
      <c r="HI141" s="162"/>
      <c r="HJ141" s="162"/>
      <c r="HK141" s="162"/>
      <c r="HL141" s="162"/>
      <c r="HM141" s="162"/>
      <c r="HN141" s="162"/>
      <c r="HO141" s="162"/>
      <c r="HP141" s="162"/>
      <c r="HQ141" s="162"/>
      <c r="HR141" s="162"/>
      <c r="HS141" s="162"/>
      <c r="HT141" s="162"/>
      <c r="HU141" s="162"/>
      <c r="HV141" s="162"/>
      <c r="HW141" s="162"/>
      <c r="HX141" s="162"/>
      <c r="HY141" s="162"/>
      <c r="HZ141" s="162"/>
      <c r="IA141" s="162"/>
      <c r="IB141" s="162"/>
      <c r="IC141" s="162"/>
      <c r="ID141" s="162"/>
      <c r="IE141" s="162"/>
      <c r="IF141" s="162"/>
      <c r="IG141" s="162"/>
      <c r="IH141" s="162"/>
      <c r="II141" s="162"/>
      <c r="IJ141" s="162"/>
      <c r="IK141" s="162"/>
      <c r="IL141" s="162"/>
      <c r="IM141" s="162"/>
      <c r="IN141" s="162"/>
      <c r="IO141" s="162"/>
      <c r="IP141" s="162"/>
      <c r="IQ141" s="162"/>
      <c r="IR141" s="162"/>
      <c r="IS141" s="162"/>
      <c r="IT141" s="162"/>
      <c r="IU141" s="162"/>
      <c r="IV141" s="162"/>
    </row>
    <row r="142" spans="1:256" s="168" customFormat="1" x14ac:dyDescent="0.2">
      <c r="A142" s="869"/>
      <c r="B142" s="923"/>
      <c r="C142" s="923"/>
      <c r="D142" s="923"/>
      <c r="E142" s="923"/>
      <c r="F142" s="923"/>
      <c r="G142" s="923"/>
      <c r="H142" s="923"/>
      <c r="I142" s="923"/>
      <c r="J142" s="923"/>
      <c r="K142" s="923"/>
      <c r="L142" s="923"/>
      <c r="M142" s="923"/>
      <c r="N142" s="923"/>
      <c r="O142" s="923"/>
      <c r="P142" s="923"/>
      <c r="Q142" s="912"/>
      <c r="R142" s="913"/>
      <c r="S142" s="167"/>
      <c r="W142" s="206" t="s">
        <v>422</v>
      </c>
      <c r="AE142" s="191"/>
      <c r="AF142" s="191"/>
      <c r="AG142" s="192">
        <f t="shared" ref="AG142:AG147" si="54">$M53</f>
        <v>72.727999999999994</v>
      </c>
      <c r="AH142" s="244"/>
      <c r="AI142" s="244"/>
      <c r="AJ142" s="244"/>
      <c r="AM142" s="206" t="s">
        <v>422</v>
      </c>
      <c r="AU142" s="191"/>
      <c r="AV142" s="191"/>
      <c r="AW142" s="192">
        <f t="shared" ref="AW142:AW147" si="55">$M53</f>
        <v>72.727999999999994</v>
      </c>
      <c r="AX142" s="244"/>
      <c r="AY142" s="244"/>
      <c r="AZ142" s="244"/>
      <c r="BC142" s="206" t="s">
        <v>422</v>
      </c>
      <c r="BK142" s="191"/>
      <c r="BL142" s="191"/>
      <c r="BM142" s="192">
        <f t="shared" ref="BM142:BM147" si="56">$M53</f>
        <v>72.727999999999994</v>
      </c>
      <c r="BN142" s="244"/>
      <c r="BO142" s="244"/>
      <c r="BP142" s="244"/>
      <c r="BS142" s="206" t="s">
        <v>422</v>
      </c>
      <c r="CA142" s="191"/>
      <c r="CB142" s="191"/>
      <c r="CC142" s="192">
        <f t="shared" ref="CC142:CC147" si="57">$M53</f>
        <v>72.727999999999994</v>
      </c>
      <c r="CD142" s="244"/>
      <c r="CE142" s="244"/>
      <c r="CF142" s="244"/>
      <c r="CI142" s="206" t="s">
        <v>422</v>
      </c>
      <c r="CQ142" s="191"/>
      <c r="CR142" s="191"/>
      <c r="CS142" s="192">
        <f t="shared" ref="CS142:CS147" si="58">$M53</f>
        <v>72.727999999999994</v>
      </c>
      <c r="CT142" s="244"/>
      <c r="CU142" s="244"/>
      <c r="CV142" s="244"/>
      <c r="CY142" s="206" t="s">
        <v>422</v>
      </c>
      <c r="DG142" s="191"/>
      <c r="DH142" s="191"/>
      <c r="DI142" s="192">
        <f t="shared" ref="DI142:DI147" si="59">$M53</f>
        <v>72.727999999999994</v>
      </c>
      <c r="DJ142" s="244"/>
      <c r="DK142" s="244"/>
      <c r="DL142" s="244"/>
      <c r="DO142" s="206" t="s">
        <v>422</v>
      </c>
      <c r="DW142" s="191"/>
      <c r="DX142" s="191"/>
      <c r="DY142" s="192">
        <f t="shared" ref="DY142:DY147" si="60">$M53</f>
        <v>72.727999999999994</v>
      </c>
      <c r="DZ142" s="244"/>
      <c r="EA142" s="244"/>
      <c r="EB142" s="244"/>
      <c r="EE142" s="206" t="s">
        <v>422</v>
      </c>
      <c r="EM142" s="191"/>
      <c r="EN142" s="191"/>
      <c r="EO142" s="192">
        <f t="shared" ref="EO142:EO147" si="61">$M53</f>
        <v>72.727999999999994</v>
      </c>
      <c r="EP142" s="244"/>
      <c r="EQ142" s="244"/>
      <c r="ER142" s="244"/>
      <c r="EU142" s="206" t="s">
        <v>422</v>
      </c>
      <c r="FC142" s="191"/>
      <c r="FD142" s="191"/>
      <c r="FE142" s="192">
        <f t="shared" ref="FE142:FE147" si="62">$M53</f>
        <v>72.727999999999994</v>
      </c>
      <c r="FF142" s="244"/>
      <c r="FG142" s="244"/>
      <c r="FH142" s="244"/>
      <c r="HI142" s="162"/>
      <c r="HJ142" s="162"/>
      <c r="HK142" s="162"/>
      <c r="HL142" s="162"/>
      <c r="HM142" s="162"/>
      <c r="HN142" s="162"/>
      <c r="HO142" s="162"/>
      <c r="HP142" s="162"/>
      <c r="HQ142" s="162"/>
      <c r="HR142" s="162"/>
      <c r="HS142" s="162"/>
      <c r="HT142" s="162"/>
      <c r="HU142" s="162"/>
      <c r="HV142" s="162"/>
      <c r="HW142" s="162"/>
      <c r="HX142" s="162"/>
      <c r="HY142" s="162"/>
      <c r="HZ142" s="162"/>
      <c r="IA142" s="162"/>
      <c r="IB142" s="162"/>
      <c r="IC142" s="162"/>
      <c r="ID142" s="162"/>
      <c r="IE142" s="162"/>
      <c r="IF142" s="162"/>
      <c r="IG142" s="162"/>
      <c r="IH142" s="162"/>
      <c r="II142" s="162"/>
      <c r="IJ142" s="162"/>
      <c r="IK142" s="162"/>
      <c r="IL142" s="162"/>
      <c r="IM142" s="162"/>
      <c r="IN142" s="162"/>
      <c r="IO142" s="162"/>
      <c r="IP142" s="162"/>
      <c r="IQ142" s="162"/>
      <c r="IR142" s="162"/>
      <c r="IS142" s="162"/>
      <c r="IT142" s="162"/>
      <c r="IU142" s="162"/>
      <c r="IV142" s="162"/>
    </row>
    <row r="143" spans="1:256" s="168" customFormat="1" x14ac:dyDescent="0.2">
      <c r="A143" s="869"/>
      <c r="B143" s="923"/>
      <c r="C143" s="923"/>
      <c r="D143" s="923"/>
      <c r="E143" s="923"/>
      <c r="F143" s="923"/>
      <c r="G143" s="923"/>
      <c r="H143" s="923"/>
      <c r="I143" s="923"/>
      <c r="J143" s="923"/>
      <c r="K143" s="923"/>
      <c r="L143" s="923"/>
      <c r="M143" s="923"/>
      <c r="N143" s="923"/>
      <c r="O143" s="923"/>
      <c r="P143" s="923"/>
      <c r="Q143" s="912"/>
      <c r="R143" s="913"/>
      <c r="S143" s="167"/>
      <c r="W143" s="206" t="s">
        <v>423</v>
      </c>
      <c r="AE143" s="191"/>
      <c r="AF143" s="191"/>
      <c r="AG143" s="192">
        <f t="shared" si="54"/>
        <v>76.38</v>
      </c>
      <c r="AH143" s="244"/>
      <c r="AI143" s="244"/>
      <c r="AJ143" s="244"/>
      <c r="AM143" s="206" t="s">
        <v>423</v>
      </c>
      <c r="AU143" s="191"/>
      <c r="AV143" s="191"/>
      <c r="AW143" s="192">
        <f t="shared" si="55"/>
        <v>76.38</v>
      </c>
      <c r="AX143" s="244"/>
      <c r="AY143" s="244"/>
      <c r="AZ143" s="244"/>
      <c r="BC143" s="206" t="s">
        <v>423</v>
      </c>
      <c r="BK143" s="191"/>
      <c r="BL143" s="191"/>
      <c r="BM143" s="192">
        <f t="shared" si="56"/>
        <v>76.38</v>
      </c>
      <c r="BN143" s="244"/>
      <c r="BO143" s="244"/>
      <c r="BP143" s="244"/>
      <c r="BS143" s="206" t="s">
        <v>423</v>
      </c>
      <c r="CA143" s="191"/>
      <c r="CB143" s="191"/>
      <c r="CC143" s="192">
        <f t="shared" si="57"/>
        <v>76.38</v>
      </c>
      <c r="CD143" s="244"/>
      <c r="CE143" s="244"/>
      <c r="CF143" s="244"/>
      <c r="CI143" s="206" t="s">
        <v>423</v>
      </c>
      <c r="CQ143" s="191"/>
      <c r="CR143" s="191"/>
      <c r="CS143" s="192">
        <f t="shared" si="58"/>
        <v>76.38</v>
      </c>
      <c r="CT143" s="244"/>
      <c r="CU143" s="244"/>
      <c r="CV143" s="244"/>
      <c r="CY143" s="206" t="s">
        <v>423</v>
      </c>
      <c r="DG143" s="191"/>
      <c r="DH143" s="191"/>
      <c r="DI143" s="192">
        <f t="shared" si="59"/>
        <v>76.38</v>
      </c>
      <c r="DJ143" s="244"/>
      <c r="DK143" s="244"/>
      <c r="DL143" s="244"/>
      <c r="DO143" s="206" t="s">
        <v>423</v>
      </c>
      <c r="DW143" s="191"/>
      <c r="DX143" s="191"/>
      <c r="DY143" s="192">
        <f t="shared" si="60"/>
        <v>76.38</v>
      </c>
      <c r="DZ143" s="244"/>
      <c r="EA143" s="244"/>
      <c r="EB143" s="244"/>
      <c r="EE143" s="206" t="s">
        <v>423</v>
      </c>
      <c r="EM143" s="191"/>
      <c r="EN143" s="191"/>
      <c r="EO143" s="192">
        <f t="shared" si="61"/>
        <v>76.38</v>
      </c>
      <c r="EP143" s="244"/>
      <c r="EQ143" s="244"/>
      <c r="ER143" s="244"/>
      <c r="EU143" s="206" t="s">
        <v>423</v>
      </c>
      <c r="FC143" s="191"/>
      <c r="FD143" s="191"/>
      <c r="FE143" s="192">
        <f t="shared" si="62"/>
        <v>76.38</v>
      </c>
      <c r="FF143" s="244"/>
      <c r="FG143" s="244"/>
      <c r="FH143" s="244"/>
      <c r="HI143" s="162"/>
      <c r="HJ143" s="162"/>
      <c r="HK143" s="162"/>
      <c r="HL143" s="162"/>
      <c r="HM143" s="162"/>
      <c r="HN143" s="162"/>
      <c r="HO143" s="162"/>
      <c r="HP143" s="162"/>
      <c r="HQ143" s="162"/>
      <c r="HR143" s="162"/>
      <c r="HS143" s="162"/>
      <c r="HT143" s="162"/>
      <c r="HU143" s="162"/>
      <c r="HV143" s="162"/>
      <c r="HW143" s="162"/>
      <c r="HX143" s="162"/>
      <c r="HY143" s="162"/>
      <c r="HZ143" s="162"/>
      <c r="IA143" s="162"/>
      <c r="IB143" s="162"/>
      <c r="IC143" s="162"/>
      <c r="ID143" s="162"/>
      <c r="IE143" s="162"/>
      <c r="IF143" s="162"/>
      <c r="IG143" s="162"/>
      <c r="IH143" s="162"/>
      <c r="II143" s="162"/>
      <c r="IJ143" s="162"/>
      <c r="IK143" s="162"/>
      <c r="IL143" s="162"/>
      <c r="IM143" s="162"/>
      <c r="IN143" s="162"/>
      <c r="IO143" s="162"/>
      <c r="IP143" s="162"/>
      <c r="IQ143" s="162"/>
      <c r="IR143" s="162"/>
      <c r="IS143" s="162"/>
      <c r="IT143" s="162"/>
      <c r="IU143" s="162"/>
      <c r="IV143" s="162"/>
    </row>
    <row r="144" spans="1:256" s="168" customFormat="1" x14ac:dyDescent="0.2">
      <c r="A144" s="869"/>
      <c r="B144" s="923"/>
      <c r="C144" s="923"/>
      <c r="D144" s="923"/>
      <c r="E144" s="923"/>
      <c r="F144" s="923"/>
      <c r="G144" s="923"/>
      <c r="H144" s="923"/>
      <c r="I144" s="923"/>
      <c r="J144" s="923"/>
      <c r="K144" s="923"/>
      <c r="L144" s="923"/>
      <c r="M144" s="923"/>
      <c r="N144" s="923"/>
      <c r="O144" s="923"/>
      <c r="P144" s="923"/>
      <c r="Q144" s="912"/>
      <c r="R144" s="913"/>
      <c r="S144" s="167"/>
      <c r="W144" s="206" t="s">
        <v>424</v>
      </c>
      <c r="AE144" s="191"/>
      <c r="AF144" s="191"/>
      <c r="AG144" s="192">
        <f t="shared" si="54"/>
        <v>36.924999999999997</v>
      </c>
      <c r="AH144" s="244"/>
      <c r="AI144" s="244"/>
      <c r="AJ144" s="244"/>
      <c r="AM144" s="206" t="s">
        <v>424</v>
      </c>
      <c r="AU144" s="191"/>
      <c r="AV144" s="191"/>
      <c r="AW144" s="192">
        <f t="shared" si="55"/>
        <v>36.924999999999997</v>
      </c>
      <c r="AX144" s="244"/>
      <c r="AY144" s="244"/>
      <c r="AZ144" s="244"/>
      <c r="BC144" s="206" t="s">
        <v>424</v>
      </c>
      <c r="BK144" s="191"/>
      <c r="BL144" s="191"/>
      <c r="BM144" s="192">
        <f t="shared" si="56"/>
        <v>36.924999999999997</v>
      </c>
      <c r="BN144" s="244"/>
      <c r="BO144" s="244"/>
      <c r="BP144" s="244"/>
      <c r="BS144" s="206" t="s">
        <v>424</v>
      </c>
      <c r="CA144" s="191"/>
      <c r="CB144" s="191"/>
      <c r="CC144" s="192">
        <f t="shared" si="57"/>
        <v>36.924999999999997</v>
      </c>
      <c r="CD144" s="244"/>
      <c r="CE144" s="244"/>
      <c r="CF144" s="244"/>
      <c r="CI144" s="206" t="s">
        <v>424</v>
      </c>
      <c r="CQ144" s="191"/>
      <c r="CR144" s="191"/>
      <c r="CS144" s="192">
        <f t="shared" si="58"/>
        <v>36.924999999999997</v>
      </c>
      <c r="CT144" s="244"/>
      <c r="CU144" s="244"/>
      <c r="CV144" s="244"/>
      <c r="CY144" s="206" t="s">
        <v>424</v>
      </c>
      <c r="DG144" s="191"/>
      <c r="DH144" s="191"/>
      <c r="DI144" s="192">
        <f t="shared" si="59"/>
        <v>36.924999999999997</v>
      </c>
      <c r="DJ144" s="244"/>
      <c r="DK144" s="244"/>
      <c r="DL144" s="244"/>
      <c r="DO144" s="206" t="s">
        <v>424</v>
      </c>
      <c r="DW144" s="191"/>
      <c r="DX144" s="191"/>
      <c r="DY144" s="192">
        <f t="shared" si="60"/>
        <v>36.924999999999997</v>
      </c>
      <c r="DZ144" s="244"/>
      <c r="EA144" s="244"/>
      <c r="EB144" s="244"/>
      <c r="EE144" s="206" t="s">
        <v>424</v>
      </c>
      <c r="EM144" s="191"/>
      <c r="EN144" s="191"/>
      <c r="EO144" s="192">
        <f t="shared" si="61"/>
        <v>36.924999999999997</v>
      </c>
      <c r="EP144" s="244"/>
      <c r="EQ144" s="244"/>
      <c r="ER144" s="244"/>
      <c r="EU144" s="206" t="s">
        <v>424</v>
      </c>
      <c r="FC144" s="191"/>
      <c r="FD144" s="191"/>
      <c r="FE144" s="192">
        <f t="shared" si="62"/>
        <v>36.924999999999997</v>
      </c>
      <c r="FF144" s="244"/>
      <c r="FG144" s="244"/>
      <c r="FH144" s="244"/>
      <c r="HI144" s="162"/>
      <c r="HJ144" s="162"/>
      <c r="HK144" s="162"/>
      <c r="HL144" s="162"/>
      <c r="HM144" s="162"/>
      <c r="HN144" s="162"/>
      <c r="HO144" s="162"/>
      <c r="HP144" s="162"/>
      <c r="HQ144" s="162"/>
      <c r="HR144" s="162"/>
      <c r="HS144" s="162"/>
      <c r="HT144" s="162"/>
      <c r="HU144" s="162"/>
      <c r="HV144" s="162"/>
      <c r="HW144" s="162"/>
      <c r="HX144" s="162"/>
      <c r="HY144" s="162"/>
      <c r="HZ144" s="162"/>
      <c r="IA144" s="162"/>
      <c r="IB144" s="162"/>
      <c r="IC144" s="162"/>
      <c r="ID144" s="162"/>
      <c r="IE144" s="162"/>
      <c r="IF144" s="162"/>
      <c r="IG144" s="162"/>
      <c r="IH144" s="162"/>
      <c r="II144" s="162"/>
      <c r="IJ144" s="162"/>
      <c r="IK144" s="162"/>
      <c r="IL144" s="162"/>
      <c r="IM144" s="162"/>
      <c r="IN144" s="162"/>
      <c r="IO144" s="162"/>
      <c r="IP144" s="162"/>
      <c r="IQ144" s="162"/>
      <c r="IR144" s="162"/>
      <c r="IS144" s="162"/>
      <c r="IT144" s="162"/>
      <c r="IU144" s="162"/>
      <c r="IV144" s="162"/>
    </row>
    <row r="145" spans="1:256" s="168" customFormat="1" x14ac:dyDescent="0.2">
      <c r="A145" s="869"/>
      <c r="B145" s="923"/>
      <c r="C145" s="923"/>
      <c r="D145" s="923"/>
      <c r="E145" s="923"/>
      <c r="F145" s="923"/>
      <c r="G145" s="923"/>
      <c r="H145" s="923"/>
      <c r="I145" s="923"/>
      <c r="J145" s="923"/>
      <c r="K145" s="923"/>
      <c r="L145" s="923"/>
      <c r="M145" s="923"/>
      <c r="N145" s="923"/>
      <c r="O145" s="923"/>
      <c r="P145" s="923"/>
      <c r="Q145" s="912"/>
      <c r="R145" s="913"/>
      <c r="S145" s="167"/>
      <c r="W145" s="206" t="s">
        <v>126</v>
      </c>
      <c r="AE145" s="191"/>
      <c r="AF145" s="191"/>
      <c r="AG145" s="192">
        <f t="shared" si="54"/>
        <v>12.5</v>
      </c>
      <c r="AH145" s="244"/>
      <c r="AI145" s="244"/>
      <c r="AJ145" s="244"/>
      <c r="AM145" s="206" t="s">
        <v>126</v>
      </c>
      <c r="AU145" s="191"/>
      <c r="AV145" s="191"/>
      <c r="AW145" s="192">
        <f t="shared" si="55"/>
        <v>12.5</v>
      </c>
      <c r="AX145" s="244"/>
      <c r="AY145" s="244"/>
      <c r="AZ145" s="244"/>
      <c r="BC145" s="206" t="s">
        <v>126</v>
      </c>
      <c r="BK145" s="191"/>
      <c r="BL145" s="191"/>
      <c r="BM145" s="192">
        <f t="shared" si="56"/>
        <v>12.5</v>
      </c>
      <c r="BN145" s="244"/>
      <c r="BO145" s="244"/>
      <c r="BP145" s="244"/>
      <c r="BS145" s="206" t="s">
        <v>126</v>
      </c>
      <c r="CA145" s="191"/>
      <c r="CB145" s="191"/>
      <c r="CC145" s="192">
        <f t="shared" si="57"/>
        <v>12.5</v>
      </c>
      <c r="CD145" s="244"/>
      <c r="CE145" s="244"/>
      <c r="CF145" s="244"/>
      <c r="CI145" s="206" t="s">
        <v>126</v>
      </c>
      <c r="CQ145" s="191"/>
      <c r="CR145" s="191"/>
      <c r="CS145" s="192">
        <f t="shared" si="58"/>
        <v>12.5</v>
      </c>
      <c r="CT145" s="244"/>
      <c r="CU145" s="244"/>
      <c r="CV145" s="244"/>
      <c r="CY145" s="206" t="s">
        <v>126</v>
      </c>
      <c r="DG145" s="191"/>
      <c r="DH145" s="191"/>
      <c r="DI145" s="192">
        <f t="shared" si="59"/>
        <v>12.5</v>
      </c>
      <c r="DJ145" s="244"/>
      <c r="DK145" s="244"/>
      <c r="DL145" s="244"/>
      <c r="DO145" s="206" t="s">
        <v>126</v>
      </c>
      <c r="DW145" s="191"/>
      <c r="DX145" s="191"/>
      <c r="DY145" s="192">
        <f t="shared" si="60"/>
        <v>12.5</v>
      </c>
      <c r="DZ145" s="244"/>
      <c r="EA145" s="244"/>
      <c r="EB145" s="244"/>
      <c r="EE145" s="206" t="s">
        <v>126</v>
      </c>
      <c r="EM145" s="191"/>
      <c r="EN145" s="191"/>
      <c r="EO145" s="192">
        <f t="shared" si="61"/>
        <v>12.5</v>
      </c>
      <c r="EP145" s="244"/>
      <c r="EQ145" s="244"/>
      <c r="ER145" s="244"/>
      <c r="EU145" s="206" t="s">
        <v>126</v>
      </c>
      <c r="FC145" s="191"/>
      <c r="FD145" s="191"/>
      <c r="FE145" s="192">
        <f t="shared" si="62"/>
        <v>12.5</v>
      </c>
      <c r="FF145" s="244"/>
      <c r="FG145" s="244"/>
      <c r="FH145" s="244"/>
      <c r="HI145" s="162"/>
      <c r="HJ145" s="162"/>
      <c r="HK145" s="162"/>
      <c r="HL145" s="162"/>
      <c r="HM145" s="162"/>
      <c r="HN145" s="162"/>
      <c r="HO145" s="162"/>
      <c r="HP145" s="162"/>
      <c r="HQ145" s="162"/>
      <c r="HR145" s="162"/>
      <c r="HS145" s="162"/>
      <c r="HT145" s="162"/>
      <c r="HU145" s="162"/>
      <c r="HV145" s="162"/>
      <c r="HW145" s="162"/>
      <c r="HX145" s="162"/>
      <c r="HY145" s="162"/>
      <c r="HZ145" s="162"/>
      <c r="IA145" s="162"/>
      <c r="IB145" s="162"/>
      <c r="IC145" s="162"/>
      <c r="ID145" s="162"/>
      <c r="IE145" s="162"/>
      <c r="IF145" s="162"/>
      <c r="IG145" s="162"/>
      <c r="IH145" s="162"/>
      <c r="II145" s="162"/>
      <c r="IJ145" s="162"/>
      <c r="IK145" s="162"/>
      <c r="IL145" s="162"/>
      <c r="IM145" s="162"/>
      <c r="IN145" s="162"/>
      <c r="IO145" s="162"/>
      <c r="IP145" s="162"/>
      <c r="IQ145" s="162"/>
      <c r="IR145" s="162"/>
      <c r="IS145" s="162"/>
      <c r="IT145" s="162"/>
      <c r="IU145" s="162"/>
      <c r="IV145" s="162"/>
    </row>
    <row r="146" spans="1:256" s="168" customFormat="1" x14ac:dyDescent="0.2">
      <c r="A146" s="869"/>
      <c r="B146" s="923"/>
      <c r="C146" s="923"/>
      <c r="D146" s="923"/>
      <c r="E146" s="923"/>
      <c r="F146" s="923"/>
      <c r="G146" s="923"/>
      <c r="H146" s="923"/>
      <c r="I146" s="923"/>
      <c r="J146" s="923"/>
      <c r="K146" s="923"/>
      <c r="L146" s="923"/>
      <c r="M146" s="923"/>
      <c r="N146" s="923"/>
      <c r="O146" s="923"/>
      <c r="P146" s="923"/>
      <c r="Q146" s="912"/>
      <c r="R146" s="913"/>
      <c r="S146" s="167"/>
      <c r="W146" s="206" t="s">
        <v>425</v>
      </c>
      <c r="AE146" s="191"/>
      <c r="AF146" s="191"/>
      <c r="AG146" s="192">
        <f t="shared" si="54"/>
        <v>9.9266500000000022</v>
      </c>
      <c r="AH146" s="244"/>
      <c r="AI146" s="244"/>
      <c r="AJ146" s="244"/>
      <c r="AM146" s="206" t="s">
        <v>425</v>
      </c>
      <c r="AU146" s="191"/>
      <c r="AV146" s="191"/>
      <c r="AW146" s="192">
        <f t="shared" si="55"/>
        <v>9.9266500000000022</v>
      </c>
      <c r="AX146" s="244"/>
      <c r="AY146" s="244"/>
      <c r="AZ146" s="244"/>
      <c r="BC146" s="206" t="s">
        <v>425</v>
      </c>
      <c r="BK146" s="191"/>
      <c r="BL146" s="191"/>
      <c r="BM146" s="192">
        <f t="shared" si="56"/>
        <v>9.9266500000000022</v>
      </c>
      <c r="BN146" s="244"/>
      <c r="BO146" s="244"/>
      <c r="BP146" s="244"/>
      <c r="BS146" s="206" t="s">
        <v>425</v>
      </c>
      <c r="CA146" s="191"/>
      <c r="CB146" s="191"/>
      <c r="CC146" s="192">
        <f t="shared" si="57"/>
        <v>9.9266500000000022</v>
      </c>
      <c r="CD146" s="244"/>
      <c r="CE146" s="244"/>
      <c r="CF146" s="244"/>
      <c r="CI146" s="206" t="s">
        <v>425</v>
      </c>
      <c r="CQ146" s="191"/>
      <c r="CR146" s="191"/>
      <c r="CS146" s="192">
        <f t="shared" si="58"/>
        <v>9.9266500000000022</v>
      </c>
      <c r="CT146" s="244"/>
      <c r="CU146" s="244"/>
      <c r="CV146" s="244"/>
      <c r="CY146" s="206" t="s">
        <v>425</v>
      </c>
      <c r="DG146" s="191"/>
      <c r="DH146" s="191"/>
      <c r="DI146" s="192">
        <f t="shared" si="59"/>
        <v>9.9266500000000022</v>
      </c>
      <c r="DJ146" s="244"/>
      <c r="DK146" s="244"/>
      <c r="DL146" s="244"/>
      <c r="DO146" s="206" t="s">
        <v>425</v>
      </c>
      <c r="DW146" s="191"/>
      <c r="DX146" s="191"/>
      <c r="DY146" s="192">
        <f t="shared" si="60"/>
        <v>9.9266500000000022</v>
      </c>
      <c r="DZ146" s="244"/>
      <c r="EA146" s="244"/>
      <c r="EB146" s="244"/>
      <c r="EE146" s="206" t="s">
        <v>425</v>
      </c>
      <c r="EM146" s="191"/>
      <c r="EN146" s="191"/>
      <c r="EO146" s="192">
        <f t="shared" si="61"/>
        <v>9.9266500000000022</v>
      </c>
      <c r="EP146" s="244"/>
      <c r="EQ146" s="244"/>
      <c r="ER146" s="244"/>
      <c r="EU146" s="206" t="s">
        <v>425</v>
      </c>
      <c r="FC146" s="191"/>
      <c r="FD146" s="191"/>
      <c r="FE146" s="192">
        <f t="shared" si="62"/>
        <v>9.9266500000000022</v>
      </c>
      <c r="FF146" s="244"/>
      <c r="FG146" s="244"/>
      <c r="FH146" s="244"/>
      <c r="HI146" s="162"/>
      <c r="HJ146" s="162"/>
      <c r="HK146" s="162"/>
      <c r="HL146" s="162"/>
      <c r="HM146" s="162"/>
      <c r="HN146" s="162"/>
      <c r="HO146" s="162"/>
      <c r="HP146" s="162"/>
      <c r="HQ146" s="162"/>
      <c r="HR146" s="162"/>
      <c r="HS146" s="162"/>
      <c r="HT146" s="162"/>
      <c r="HU146" s="162"/>
      <c r="HV146" s="162"/>
      <c r="HW146" s="162"/>
      <c r="HX146" s="162"/>
      <c r="HY146" s="162"/>
      <c r="HZ146" s="162"/>
      <c r="IA146" s="162"/>
      <c r="IB146" s="162"/>
      <c r="IC146" s="162"/>
      <c r="ID146" s="162"/>
      <c r="IE146" s="162"/>
      <c r="IF146" s="162"/>
      <c r="IG146" s="162"/>
      <c r="IH146" s="162"/>
      <c r="II146" s="162"/>
      <c r="IJ146" s="162"/>
      <c r="IK146" s="162"/>
      <c r="IL146" s="162"/>
      <c r="IM146" s="162"/>
      <c r="IN146" s="162"/>
      <c r="IO146" s="162"/>
      <c r="IP146" s="162"/>
      <c r="IQ146" s="162"/>
      <c r="IR146" s="162"/>
      <c r="IS146" s="162"/>
      <c r="IT146" s="162"/>
      <c r="IU146" s="162"/>
      <c r="IV146" s="162"/>
    </row>
    <row r="147" spans="1:256" s="168" customFormat="1" x14ac:dyDescent="0.2">
      <c r="A147" s="869"/>
      <c r="B147" s="923"/>
      <c r="C147" s="923"/>
      <c r="D147" s="923"/>
      <c r="E147" s="923"/>
      <c r="F147" s="923"/>
      <c r="G147" s="923"/>
      <c r="H147" s="923"/>
      <c r="I147" s="923"/>
      <c r="J147" s="923"/>
      <c r="K147" s="923"/>
      <c r="L147" s="923"/>
      <c r="M147" s="923"/>
      <c r="N147" s="923"/>
      <c r="O147" s="923"/>
      <c r="P147" s="923"/>
      <c r="Q147" s="912"/>
      <c r="R147" s="913"/>
      <c r="S147" s="167"/>
      <c r="W147" s="206" t="s">
        <v>426</v>
      </c>
      <c r="AE147" s="191"/>
      <c r="AF147" s="191"/>
      <c r="AG147" s="192">
        <f t="shared" si="54"/>
        <v>180</v>
      </c>
      <c r="AH147" s="244"/>
      <c r="AI147" s="244"/>
      <c r="AJ147" s="244"/>
      <c r="AM147" s="206" t="s">
        <v>426</v>
      </c>
      <c r="AU147" s="191"/>
      <c r="AV147" s="191"/>
      <c r="AW147" s="192">
        <f t="shared" si="55"/>
        <v>180</v>
      </c>
      <c r="AX147" s="244"/>
      <c r="AY147" s="244"/>
      <c r="AZ147" s="244"/>
      <c r="BC147" s="206" t="s">
        <v>426</v>
      </c>
      <c r="BK147" s="191"/>
      <c r="BL147" s="191"/>
      <c r="BM147" s="192">
        <f t="shared" si="56"/>
        <v>180</v>
      </c>
      <c r="BN147" s="244"/>
      <c r="BO147" s="244"/>
      <c r="BP147" s="244"/>
      <c r="BS147" s="206" t="s">
        <v>426</v>
      </c>
      <c r="CA147" s="191"/>
      <c r="CB147" s="191"/>
      <c r="CC147" s="192">
        <f t="shared" si="57"/>
        <v>180</v>
      </c>
      <c r="CD147" s="244"/>
      <c r="CE147" s="244"/>
      <c r="CF147" s="244"/>
      <c r="CI147" s="206" t="s">
        <v>426</v>
      </c>
      <c r="CQ147" s="191"/>
      <c r="CR147" s="191"/>
      <c r="CS147" s="192">
        <f t="shared" si="58"/>
        <v>180</v>
      </c>
      <c r="CT147" s="244"/>
      <c r="CU147" s="244"/>
      <c r="CV147" s="244"/>
      <c r="CY147" s="206" t="s">
        <v>426</v>
      </c>
      <c r="DG147" s="191"/>
      <c r="DH147" s="191"/>
      <c r="DI147" s="192">
        <f t="shared" si="59"/>
        <v>180</v>
      </c>
      <c r="DJ147" s="244"/>
      <c r="DK147" s="244"/>
      <c r="DL147" s="244"/>
      <c r="DO147" s="206" t="s">
        <v>426</v>
      </c>
      <c r="DW147" s="191"/>
      <c r="DX147" s="191"/>
      <c r="DY147" s="192">
        <f t="shared" si="60"/>
        <v>180</v>
      </c>
      <c r="DZ147" s="244"/>
      <c r="EA147" s="244"/>
      <c r="EB147" s="244"/>
      <c r="EE147" s="206" t="s">
        <v>426</v>
      </c>
      <c r="EM147" s="191"/>
      <c r="EN147" s="191"/>
      <c r="EO147" s="192">
        <f t="shared" si="61"/>
        <v>180</v>
      </c>
      <c r="EP147" s="244"/>
      <c r="EQ147" s="244"/>
      <c r="ER147" s="244"/>
      <c r="EU147" s="206" t="s">
        <v>426</v>
      </c>
      <c r="FC147" s="191"/>
      <c r="FD147" s="191"/>
      <c r="FE147" s="192">
        <f t="shared" si="62"/>
        <v>180</v>
      </c>
      <c r="FF147" s="244"/>
      <c r="FG147" s="244"/>
      <c r="FH147" s="244"/>
      <c r="HI147" s="162"/>
      <c r="HJ147" s="162"/>
      <c r="HK147" s="162"/>
      <c r="HL147" s="162"/>
      <c r="HM147" s="162"/>
      <c r="HN147" s="162"/>
      <c r="HO147" s="162"/>
      <c r="HP147" s="162"/>
      <c r="HQ147" s="162"/>
      <c r="HR147" s="162"/>
      <c r="HS147" s="162"/>
      <c r="HT147" s="162"/>
      <c r="HU147" s="162"/>
      <c r="HV147" s="162"/>
      <c r="HW147" s="162"/>
      <c r="HX147" s="162"/>
      <c r="HY147" s="162"/>
      <c r="HZ147" s="162"/>
      <c r="IA147" s="162"/>
      <c r="IB147" s="162"/>
      <c r="IC147" s="162"/>
      <c r="ID147" s="162"/>
      <c r="IE147" s="162"/>
      <c r="IF147" s="162"/>
      <c r="IG147" s="162"/>
      <c r="IH147" s="162"/>
      <c r="II147" s="162"/>
      <c r="IJ147" s="162"/>
      <c r="IK147" s="162"/>
      <c r="IL147" s="162"/>
      <c r="IM147" s="162"/>
      <c r="IN147" s="162"/>
      <c r="IO147" s="162"/>
      <c r="IP147" s="162"/>
      <c r="IQ147" s="162"/>
      <c r="IR147" s="162"/>
      <c r="IS147" s="162"/>
      <c r="IT147" s="162"/>
      <c r="IU147" s="162"/>
      <c r="IV147" s="162"/>
    </row>
    <row r="148" spans="1:256" s="272" customFormat="1" x14ac:dyDescent="0.2">
      <c r="A148" s="869"/>
      <c r="B148" s="923"/>
      <c r="C148" s="923"/>
      <c r="D148" s="923"/>
      <c r="E148" s="923"/>
      <c r="F148" s="923"/>
      <c r="G148" s="923"/>
      <c r="H148" s="923"/>
      <c r="I148" s="923"/>
      <c r="J148" s="923"/>
      <c r="K148" s="923"/>
      <c r="L148" s="923"/>
      <c r="M148" s="923"/>
      <c r="N148" s="923"/>
      <c r="O148" s="923"/>
      <c r="P148" s="923"/>
      <c r="Q148" s="912"/>
      <c r="R148" s="913"/>
      <c r="S148" s="167"/>
      <c r="T148" s="168"/>
      <c r="U148" s="168"/>
      <c r="V148" s="168"/>
      <c r="W148" s="271" t="s">
        <v>427</v>
      </c>
      <c r="AE148" s="274"/>
      <c r="AF148" s="274"/>
      <c r="AG148" s="280"/>
      <c r="AH148" s="281">
        <f>IF(AC103=0,0,(AG142+AG143+AG144+AG145+AG146+AG147)/AC103*100)</f>
        <v>77.691929999999999</v>
      </c>
      <c r="AI148" s="281">
        <f>IF(AC104=0,0,(AG142+AG143+AG144+AG145+AG146+AG147)/AC104*100)</f>
        <v>77.691929999999999</v>
      </c>
      <c r="AJ148" s="281">
        <f>IF(AC105=0,0,(AG142+AG143+AG144+AG145+AG146+AG147)/AC105*100)*Data!E123</f>
        <v>46.615158000000001</v>
      </c>
      <c r="AK148" s="168"/>
      <c r="AL148" s="168"/>
      <c r="AM148" s="271" t="s">
        <v>427</v>
      </c>
      <c r="AU148" s="274"/>
      <c r="AV148" s="274"/>
      <c r="AW148" s="280"/>
      <c r="AX148" s="281">
        <f>IF(AS103=0,0,(AW142+AW143+AW144+AW145+AW146+AW147)/AS103*100)</f>
        <v>73.992314285714286</v>
      </c>
      <c r="AY148" s="281">
        <f>IF(AS104=0,0,(AW142+AW143+AW144+AW145+AW146+AW147)/AS104*100)</f>
        <v>73.992314285714286</v>
      </c>
      <c r="AZ148" s="281">
        <f>IF(AS105=0,0,(AW142+AW143+AW144+AW145+AW146+AW147)/AS105*100)*Data!E123</f>
        <v>44.395388571428569</v>
      </c>
      <c r="BA148" s="168"/>
      <c r="BB148" s="168"/>
      <c r="BC148" s="271" t="s">
        <v>427</v>
      </c>
      <c r="BK148" s="274"/>
      <c r="BL148" s="274"/>
      <c r="BM148" s="280"/>
      <c r="BN148" s="281">
        <f>IF(BI103=0,0,(BM142+BM143+BM144+BM145+BM146+BM147)/BI103*100)</f>
        <v>70.629027272727271</v>
      </c>
      <c r="BO148" s="281">
        <f>IF(BI104=0,0,(BM142+BM143+BM144+BM145+BM146+BM147)/BI104*100)</f>
        <v>70.629027272727271</v>
      </c>
      <c r="BP148" s="281">
        <f>IF(BI105=0,0,(BM142+BM143+BM144+BM145+BM146+BM147)/BI105*100)*Data!E123</f>
        <v>42.377416363636364</v>
      </c>
      <c r="BQ148" s="168"/>
      <c r="BR148" s="168"/>
      <c r="BS148" s="271" t="s">
        <v>427</v>
      </c>
      <c r="CA148" s="274"/>
      <c r="CB148" s="274"/>
      <c r="CC148" s="280"/>
      <c r="CD148" s="281">
        <f>IF(BY103=0,0,(CC142+CC143+CC144+CC145+CC146+CC147)/BY103*100)</f>
        <v>67.558199999999999</v>
      </c>
      <c r="CE148" s="281">
        <f>IF(BY104=0,0,(CC142+CC143+CC144+CC145+CC146+CC147)/BY104*100)</f>
        <v>67.558199999999999</v>
      </c>
      <c r="CF148" s="281">
        <f>IF(BY105=0,0,(CC142+CC143+CC144+CC145+CC146+CC147)/BY105*100)*Data!E123</f>
        <v>40.53492</v>
      </c>
      <c r="CG148" s="168"/>
      <c r="CH148" s="168"/>
      <c r="CI148" s="271" t="s">
        <v>427</v>
      </c>
      <c r="CQ148" s="274"/>
      <c r="CR148" s="274"/>
      <c r="CS148" s="280"/>
      <c r="CT148" s="281">
        <f>IF(CO103=0,0,(CS142+CS143+CS144+CS145+CS146+CS147)/CO103*100)</f>
        <v>64.743274999999997</v>
      </c>
      <c r="CU148" s="281">
        <f>IF(CO104=0,0,(CS142+CS143+CS144+CS145+CS146+CS147)/CO104*100)</f>
        <v>64.743274999999997</v>
      </c>
      <c r="CV148" s="281">
        <f>IF(CO105=0,0,(CS142+CS143+CS144+CS145+CS146+CS147)/CO105*100)*Data!E123</f>
        <v>38.845965</v>
      </c>
      <c r="CW148" s="168"/>
      <c r="CX148" s="168"/>
      <c r="CY148" s="271" t="s">
        <v>427</v>
      </c>
      <c r="DG148" s="274"/>
      <c r="DH148" s="274"/>
      <c r="DI148" s="280"/>
      <c r="DJ148" s="281">
        <f>IF(DE103=0,0,(DI142+DI143+DI144+DI145+DI146+DI147)/DE103*100)</f>
        <v>62.153544000000004</v>
      </c>
      <c r="DK148" s="281">
        <f>IF(DE104=0,0,(DI142+DI143+DI144+DI145+DI146+DI147)/DE104*100)</f>
        <v>62.153544000000004</v>
      </c>
      <c r="DL148" s="281">
        <f>IF(DE105=0,0,(DI142+DI143+DI144+DI145+DI146+DI147)/DE105*100)*Data!E123</f>
        <v>37.292126400000001</v>
      </c>
      <c r="DM148" s="168"/>
      <c r="DN148" s="168"/>
      <c r="DO148" s="271" t="s">
        <v>427</v>
      </c>
      <c r="DW148" s="274"/>
      <c r="DX148" s="274"/>
      <c r="DY148" s="280"/>
      <c r="DZ148" s="281">
        <f>IF(DU103=0,0,(DY142+DY143+DY144+DY145+DY146+DY147)/DU103*100)</f>
        <v>59.763023076923083</v>
      </c>
      <c r="EA148" s="281">
        <f>IF(DU104=0,0,(DY142+DY143+DY144+DY145+DY146+DY147)/DU104*100)</f>
        <v>59.763023076923083</v>
      </c>
      <c r="EB148" s="281">
        <f>IF(DU105=0,0,(DY142+DY143+DY144+DY145+DY146+DY147)/DU105*100)*Data!E123</f>
        <v>35.857813846153846</v>
      </c>
      <c r="EC148" s="168"/>
      <c r="ED148" s="168"/>
      <c r="EE148" s="271" t="s">
        <v>427</v>
      </c>
      <c r="EM148" s="274"/>
      <c r="EN148" s="274"/>
      <c r="EO148" s="280"/>
      <c r="EP148" s="281">
        <f>IF(EK103=0,0,(EO142+EO143+EO144+EO145+EO146+EO147)/EK103*100)</f>
        <v>57.549577777777785</v>
      </c>
      <c r="EQ148" s="281">
        <f>IF(EK104=0,0,(EO142+EO143+EO144+EO145+EO146+EO147)/EK104*100)</f>
        <v>57.549577777777785</v>
      </c>
      <c r="ER148" s="281">
        <f>IF(EK105=0,0,(EO142+EO143+EO144+EO145+EO146+EO147)/EK105*100)*Data!E123</f>
        <v>34.529746666666668</v>
      </c>
      <c r="ES148" s="168"/>
      <c r="ET148" s="168"/>
      <c r="EU148" s="271" t="s">
        <v>427</v>
      </c>
      <c r="FC148" s="274"/>
      <c r="FD148" s="274"/>
      <c r="FE148" s="280"/>
      <c r="FF148" s="281">
        <f>IF(FA103=0,0,(FE142+FE143+FE144+FE145+FE146+FE147)/FA103*100)</f>
        <v>55.494235714285708</v>
      </c>
      <c r="FG148" s="281">
        <f>IF(FA104=0,0,(FE142+FE143+FE144+FE145+FE146+FE147)/FA104*100)</f>
        <v>55.494235714285708</v>
      </c>
      <c r="FH148" s="281">
        <f>IF(FA105=0,0,(FE142+FE143+FE144+FE145+FE146+FE147)/FA105*100)*Data!E123</f>
        <v>33.296541428571423</v>
      </c>
      <c r="FI148" s="168"/>
      <c r="FJ148" s="168"/>
      <c r="FK148" s="168"/>
      <c r="FL148" s="168"/>
      <c r="FM148" s="168"/>
      <c r="FN148" s="168"/>
      <c r="FO148" s="168"/>
      <c r="FP148" s="168"/>
      <c r="FQ148" s="168"/>
      <c r="FR148" s="168"/>
      <c r="FS148" s="168"/>
      <c r="FT148" s="168"/>
      <c r="FU148" s="168"/>
      <c r="FV148" s="168"/>
      <c r="FW148" s="168"/>
      <c r="FX148" s="168"/>
      <c r="FY148" s="168"/>
      <c r="FZ148" s="168"/>
      <c r="GA148" s="168"/>
      <c r="GB148" s="168"/>
      <c r="GC148" s="168"/>
      <c r="GD148" s="168"/>
      <c r="GE148" s="168"/>
      <c r="GF148" s="168"/>
      <c r="GG148" s="168"/>
      <c r="GH148" s="168"/>
      <c r="GI148" s="168"/>
      <c r="GJ148" s="168"/>
      <c r="GK148" s="168"/>
      <c r="GL148" s="168"/>
      <c r="GM148" s="168"/>
      <c r="GN148" s="168"/>
      <c r="GO148" s="168"/>
      <c r="GP148" s="168"/>
      <c r="GQ148" s="168"/>
      <c r="GR148" s="168"/>
      <c r="GS148" s="168"/>
      <c r="GT148" s="168"/>
      <c r="GU148" s="168"/>
      <c r="GV148" s="168"/>
      <c r="GW148" s="168"/>
      <c r="GX148" s="168"/>
      <c r="GY148" s="168"/>
      <c r="GZ148" s="168"/>
      <c r="HA148" s="168"/>
      <c r="HB148" s="168"/>
      <c r="HC148" s="168"/>
      <c r="HD148" s="168"/>
      <c r="HE148" s="168"/>
      <c r="HF148" s="168"/>
      <c r="HG148" s="168"/>
      <c r="HH148" s="168"/>
      <c r="HI148" s="162"/>
      <c r="HJ148" s="162"/>
      <c r="HK148" s="162"/>
      <c r="HL148" s="162"/>
      <c r="HM148" s="162"/>
      <c r="HN148" s="162"/>
      <c r="HO148" s="162"/>
      <c r="HP148" s="162"/>
      <c r="HQ148" s="162"/>
      <c r="HR148" s="162"/>
      <c r="HS148" s="162"/>
      <c r="HT148" s="162"/>
      <c r="HU148" s="162"/>
      <c r="HV148" s="162"/>
      <c r="HW148" s="162"/>
      <c r="HX148" s="162"/>
      <c r="HY148" s="162"/>
      <c r="HZ148" s="162"/>
      <c r="IA148" s="162"/>
      <c r="IB148" s="162"/>
      <c r="IC148" s="162"/>
      <c r="ID148" s="162"/>
      <c r="IE148" s="162"/>
      <c r="IF148" s="162"/>
      <c r="IG148" s="162"/>
      <c r="IH148" s="162"/>
      <c r="II148" s="162"/>
      <c r="IJ148" s="162"/>
      <c r="IK148" s="162"/>
      <c r="IL148" s="162"/>
      <c r="IM148" s="162"/>
      <c r="IN148" s="162"/>
      <c r="IO148" s="162"/>
      <c r="IP148" s="162"/>
      <c r="IQ148" s="162"/>
      <c r="IR148" s="162"/>
      <c r="IS148" s="162"/>
      <c r="IT148" s="162"/>
      <c r="IU148" s="162"/>
      <c r="IV148" s="162"/>
    </row>
    <row r="149" spans="1:256" s="215" customFormat="1" x14ac:dyDescent="0.2">
      <c r="A149" s="869"/>
      <c r="B149" s="923"/>
      <c r="C149" s="923"/>
      <c r="D149" s="923"/>
      <c r="E149" s="923"/>
      <c r="F149" s="923"/>
      <c r="G149" s="923"/>
      <c r="H149" s="923"/>
      <c r="I149" s="923"/>
      <c r="J149" s="923"/>
      <c r="K149" s="923"/>
      <c r="L149" s="923"/>
      <c r="M149" s="923"/>
      <c r="N149" s="923"/>
      <c r="O149" s="923"/>
      <c r="P149" s="923"/>
      <c r="Q149" s="912"/>
      <c r="R149" s="913"/>
      <c r="S149" s="167"/>
      <c r="T149" s="168"/>
      <c r="U149" s="168"/>
      <c r="V149" s="168"/>
      <c r="W149" s="229" t="s">
        <v>131</v>
      </c>
      <c r="AE149" s="233"/>
      <c r="AF149" s="233"/>
      <c r="AG149" s="296">
        <f>$M60</f>
        <v>32</v>
      </c>
      <c r="AH149" s="297">
        <f>IF(AC103=0,0,(AG149/AC103*100))</f>
        <v>6.4</v>
      </c>
      <c r="AI149" s="297">
        <f>IF(AC104=0,0,(AG149/AC104*100))</f>
        <v>6.4</v>
      </c>
      <c r="AJ149" s="297">
        <f>IF(AC105=0,0,(AG149/AC105*100))</f>
        <v>6.4</v>
      </c>
      <c r="AK149" s="168"/>
      <c r="AL149" s="168"/>
      <c r="AM149" s="229" t="s">
        <v>131</v>
      </c>
      <c r="AU149" s="233"/>
      <c r="AV149" s="233"/>
      <c r="AW149" s="296">
        <f>$M60</f>
        <v>32</v>
      </c>
      <c r="AX149" s="297">
        <f>IF(AS103=0,0,(AW149/AS103*100))</f>
        <v>6.0952380952380949</v>
      </c>
      <c r="AY149" s="297">
        <f>IF(AS104=0,0,(AW149/AS104*100))</f>
        <v>6.0952380952380949</v>
      </c>
      <c r="AZ149" s="297">
        <f>IF(AS105=0,0,(AW149/AS105*100))</f>
        <v>6.0952380952380949</v>
      </c>
      <c r="BA149" s="168"/>
      <c r="BB149" s="168"/>
      <c r="BC149" s="229" t="s">
        <v>131</v>
      </c>
      <c r="BK149" s="233"/>
      <c r="BL149" s="233"/>
      <c r="BM149" s="296">
        <f>$M60</f>
        <v>32</v>
      </c>
      <c r="BN149" s="297">
        <f>IF(BI103=0,0,(BM149/BI103*100))</f>
        <v>5.8181818181818183</v>
      </c>
      <c r="BO149" s="297">
        <f>IF(BI104=0,0,(BM149/BI104*100))</f>
        <v>5.8181818181818183</v>
      </c>
      <c r="BP149" s="297">
        <f>IF(BI105=0,0,(BM149/BI105*100))</f>
        <v>5.8181818181818183</v>
      </c>
      <c r="BQ149" s="168"/>
      <c r="BR149" s="168"/>
      <c r="BS149" s="229" t="s">
        <v>131</v>
      </c>
      <c r="CA149" s="233"/>
      <c r="CB149" s="233"/>
      <c r="CC149" s="296">
        <f>$M60</f>
        <v>32</v>
      </c>
      <c r="CD149" s="297">
        <f>IF(BY103=0,0,(CC149/BY103*100))</f>
        <v>5.5652173913043477</v>
      </c>
      <c r="CE149" s="297">
        <f>IF(BY104=0,0,(CC149/BY104*100))</f>
        <v>5.5652173913043477</v>
      </c>
      <c r="CF149" s="297">
        <f>IF(BY105=0,0,(CC149/BY105*100))</f>
        <v>5.5652173913043477</v>
      </c>
      <c r="CG149" s="168"/>
      <c r="CH149" s="168"/>
      <c r="CI149" s="229" t="s">
        <v>131</v>
      </c>
      <c r="CQ149" s="233"/>
      <c r="CR149" s="233"/>
      <c r="CS149" s="296">
        <f>$M60</f>
        <v>32</v>
      </c>
      <c r="CT149" s="297">
        <f>IF(CO103=0,0,(CS149/CO103*100))</f>
        <v>5.3333333333333339</v>
      </c>
      <c r="CU149" s="297">
        <f>IF(CO104=0,0,(CS149/CO104*100))</f>
        <v>5.3333333333333339</v>
      </c>
      <c r="CV149" s="297">
        <f>IF(CO105=0,0,(CS149/CO105*100))</f>
        <v>5.3333333333333339</v>
      </c>
      <c r="CW149" s="168"/>
      <c r="CX149" s="168"/>
      <c r="CY149" s="229" t="s">
        <v>131</v>
      </c>
      <c r="DG149" s="233"/>
      <c r="DH149" s="233"/>
      <c r="DI149" s="296">
        <f>$M60</f>
        <v>32</v>
      </c>
      <c r="DJ149" s="297">
        <f>IF(DE103=0,0,(DI149/DE103*100))</f>
        <v>5.12</v>
      </c>
      <c r="DK149" s="297">
        <f>IF(DE104=0,0,(DI149/DE104*100))</f>
        <v>5.12</v>
      </c>
      <c r="DL149" s="297">
        <f>IF(DE105=0,0,(DI149/DE105*100))</f>
        <v>5.12</v>
      </c>
      <c r="DM149" s="168"/>
      <c r="DN149" s="168"/>
      <c r="DO149" s="229" t="s">
        <v>131</v>
      </c>
      <c r="DW149" s="233"/>
      <c r="DX149" s="233"/>
      <c r="DY149" s="296">
        <f>$M60</f>
        <v>32</v>
      </c>
      <c r="DZ149" s="297">
        <f>IF(DU103=0,0,(DY149/DU103*100))</f>
        <v>4.9230769230769234</v>
      </c>
      <c r="EA149" s="297">
        <f>IF(DU104=0,0,(DY149/DU104*100))</f>
        <v>4.9230769230769234</v>
      </c>
      <c r="EB149" s="297">
        <f>IF(DU105=0,0,(DY149/DU105*100))</f>
        <v>4.9230769230769234</v>
      </c>
      <c r="EC149" s="168"/>
      <c r="ED149" s="168"/>
      <c r="EE149" s="229" t="s">
        <v>131</v>
      </c>
      <c r="EM149" s="233"/>
      <c r="EN149" s="233"/>
      <c r="EO149" s="296">
        <f>$M60</f>
        <v>32</v>
      </c>
      <c r="EP149" s="297">
        <f>IF(EK103=0,0,(EO149/EK103*100))</f>
        <v>4.7407407407407405</v>
      </c>
      <c r="EQ149" s="297">
        <f>IF(EK104=0,0,(EO149/EK104*100))</f>
        <v>4.7407407407407405</v>
      </c>
      <c r="ER149" s="297">
        <f>IF(EK105=0,0,(EO149/EK105*100))</f>
        <v>4.7407407407407405</v>
      </c>
      <c r="ES149" s="168"/>
      <c r="ET149" s="168"/>
      <c r="EU149" s="229" t="s">
        <v>131</v>
      </c>
      <c r="FC149" s="233"/>
      <c r="FD149" s="233"/>
      <c r="FE149" s="296">
        <f>$M60</f>
        <v>32</v>
      </c>
      <c r="FF149" s="297">
        <f>IF(FA103=0,0,(FE149/FA103*100))</f>
        <v>4.5714285714285712</v>
      </c>
      <c r="FG149" s="297">
        <f>IF(FA104=0,0,(FE149/FA104*100))</f>
        <v>4.5714285714285712</v>
      </c>
      <c r="FH149" s="297">
        <f>IF(FA105=0,0,(FE149/FA105*100))</f>
        <v>4.5714285714285712</v>
      </c>
      <c r="FI149" s="168"/>
      <c r="FJ149" s="168"/>
      <c r="FK149" s="168"/>
      <c r="FL149" s="168"/>
      <c r="FM149" s="168"/>
      <c r="FN149" s="168"/>
      <c r="FO149" s="168"/>
      <c r="FP149" s="168"/>
      <c r="FQ149" s="168"/>
      <c r="FR149" s="168"/>
      <c r="FS149" s="168"/>
      <c r="FT149" s="168"/>
      <c r="FU149" s="168"/>
      <c r="FV149" s="168"/>
      <c r="FW149" s="168"/>
      <c r="FX149" s="168"/>
      <c r="FY149" s="168"/>
      <c r="FZ149" s="168"/>
      <c r="GA149" s="168"/>
      <c r="GB149" s="168"/>
      <c r="GC149" s="168"/>
      <c r="GD149" s="168"/>
      <c r="GE149" s="168"/>
      <c r="GF149" s="168"/>
      <c r="GG149" s="168"/>
      <c r="GH149" s="168"/>
      <c r="GI149" s="168"/>
      <c r="GJ149" s="168"/>
      <c r="GK149" s="168"/>
      <c r="GL149" s="168"/>
      <c r="GM149" s="168"/>
      <c r="GN149" s="168"/>
      <c r="GO149" s="168"/>
      <c r="GP149" s="168"/>
      <c r="GQ149" s="168"/>
      <c r="GR149" s="168"/>
      <c r="GS149" s="168"/>
      <c r="GT149" s="168"/>
      <c r="GU149" s="168"/>
      <c r="GV149" s="168"/>
      <c r="GW149" s="168"/>
      <c r="GX149" s="168"/>
      <c r="GY149" s="168"/>
      <c r="GZ149" s="168"/>
      <c r="HA149" s="168"/>
      <c r="HB149" s="168"/>
      <c r="HC149" s="168"/>
      <c r="HD149" s="168"/>
      <c r="HE149" s="168"/>
      <c r="HF149" s="168"/>
      <c r="HG149" s="168"/>
      <c r="HH149" s="168"/>
      <c r="HI149" s="162"/>
      <c r="HJ149" s="162"/>
      <c r="HK149" s="162"/>
      <c r="HL149" s="162"/>
      <c r="HM149" s="162"/>
      <c r="HN149" s="162"/>
      <c r="HO149" s="162"/>
      <c r="HP149" s="162"/>
      <c r="HQ149" s="162"/>
      <c r="HR149" s="162"/>
      <c r="HS149" s="162"/>
      <c r="HT149" s="162"/>
      <c r="HU149" s="162"/>
      <c r="HV149" s="162"/>
      <c r="HW149" s="162"/>
      <c r="HX149" s="162"/>
      <c r="HY149" s="162"/>
      <c r="HZ149" s="162"/>
      <c r="IA149" s="162"/>
      <c r="IB149" s="162"/>
      <c r="IC149" s="162"/>
      <c r="ID149" s="162"/>
      <c r="IE149" s="162"/>
      <c r="IF149" s="162"/>
      <c r="IG149" s="162"/>
      <c r="IH149" s="162"/>
      <c r="II149" s="162"/>
      <c r="IJ149" s="162"/>
      <c r="IK149" s="162"/>
      <c r="IL149" s="162"/>
      <c r="IM149" s="162"/>
      <c r="IN149" s="162"/>
      <c r="IO149" s="162"/>
      <c r="IP149" s="162"/>
      <c r="IQ149" s="162"/>
      <c r="IR149" s="162"/>
      <c r="IS149" s="162"/>
      <c r="IT149" s="162"/>
      <c r="IU149" s="162"/>
      <c r="IV149" s="162"/>
    </row>
    <row r="150" spans="1:256" s="215" customFormat="1" x14ac:dyDescent="0.2">
      <c r="A150" s="869"/>
      <c r="B150" s="923"/>
      <c r="C150" s="923"/>
      <c r="D150" s="923"/>
      <c r="E150" s="923"/>
      <c r="F150" s="923"/>
      <c r="G150" s="923"/>
      <c r="H150" s="923"/>
      <c r="I150" s="923"/>
      <c r="J150" s="923"/>
      <c r="K150" s="923"/>
      <c r="L150" s="923"/>
      <c r="M150" s="923"/>
      <c r="N150" s="923"/>
      <c r="O150" s="923"/>
      <c r="P150" s="923"/>
      <c r="Q150" s="912"/>
      <c r="R150" s="913"/>
      <c r="S150" s="167"/>
      <c r="T150" s="168"/>
      <c r="U150" s="168"/>
      <c r="V150" s="168"/>
      <c r="W150" s="229" t="s">
        <v>137</v>
      </c>
      <c r="AE150" s="233"/>
      <c r="AF150" s="233"/>
      <c r="AG150" s="296">
        <f>$M61</f>
        <v>31.25</v>
      </c>
      <c r="AH150" s="297">
        <f>IF(AC103=0,0,(AG150/AC103*100))</f>
        <v>6.25</v>
      </c>
      <c r="AI150" s="297">
        <f>IF(AC104=0,0,(AG150/AC104*100))</f>
        <v>6.25</v>
      </c>
      <c r="AJ150" s="297">
        <f>IF(AC105=0,0,(AG150/AC105*100))</f>
        <v>6.25</v>
      </c>
      <c r="AK150" s="168"/>
      <c r="AL150" s="168"/>
      <c r="AM150" s="229" t="s">
        <v>137</v>
      </c>
      <c r="AU150" s="233"/>
      <c r="AV150" s="233"/>
      <c r="AW150" s="296">
        <f>$M61</f>
        <v>31.25</v>
      </c>
      <c r="AX150" s="297">
        <f>IF(AS103=0,0,(AW150/AS103*100))</f>
        <v>5.9523809523809517</v>
      </c>
      <c r="AY150" s="297">
        <f>IF(AS104=0,0,(AW150/AS104*100))</f>
        <v>5.9523809523809517</v>
      </c>
      <c r="AZ150" s="297">
        <f>IF(AS105=0,0,(AW150/AS105*100))</f>
        <v>5.9523809523809517</v>
      </c>
      <c r="BA150" s="168"/>
      <c r="BB150" s="168"/>
      <c r="BC150" s="229" t="s">
        <v>137</v>
      </c>
      <c r="BK150" s="233"/>
      <c r="BL150" s="233"/>
      <c r="BM150" s="296">
        <f>$M61</f>
        <v>31.25</v>
      </c>
      <c r="BN150" s="297">
        <f>IF(BI103=0,0,(BM150/BI103*100))</f>
        <v>5.6818181818181817</v>
      </c>
      <c r="BO150" s="297">
        <f>IF(BI104=0,0,(BM150/BI104*100))</f>
        <v>5.6818181818181817</v>
      </c>
      <c r="BP150" s="297">
        <f>IF(BI105=0,0,(BM150/BI105*100))</f>
        <v>5.6818181818181817</v>
      </c>
      <c r="BQ150" s="168"/>
      <c r="BR150" s="168"/>
      <c r="BS150" s="229" t="s">
        <v>137</v>
      </c>
      <c r="CA150" s="233"/>
      <c r="CB150" s="233"/>
      <c r="CC150" s="296">
        <f>$M61</f>
        <v>31.25</v>
      </c>
      <c r="CD150" s="297">
        <f>IF(BY103=0,0,(CC150/BY103*100))</f>
        <v>5.4347826086956523</v>
      </c>
      <c r="CE150" s="297">
        <f>IF(BY104=0,0,(CC150/BY104*100))</f>
        <v>5.4347826086956523</v>
      </c>
      <c r="CF150" s="297">
        <f>IF(BY105=0,0,(CC150/BY105*100))</f>
        <v>5.4347826086956523</v>
      </c>
      <c r="CG150" s="168"/>
      <c r="CH150" s="168"/>
      <c r="CI150" s="229" t="s">
        <v>137</v>
      </c>
      <c r="CQ150" s="233"/>
      <c r="CR150" s="233"/>
      <c r="CS150" s="296">
        <f>$M61</f>
        <v>31.25</v>
      </c>
      <c r="CT150" s="297">
        <f>IF(CO103=0,0,(CS150/CO103*100))</f>
        <v>5.2083333333333339</v>
      </c>
      <c r="CU150" s="297">
        <f>IF(CO104=0,0,(CS150/CO104*100))</f>
        <v>5.2083333333333339</v>
      </c>
      <c r="CV150" s="297">
        <f>IF(CO105=0,0,(CS150/CO105*100))</f>
        <v>5.2083333333333339</v>
      </c>
      <c r="CW150" s="168"/>
      <c r="CX150" s="168"/>
      <c r="CY150" s="229" t="s">
        <v>137</v>
      </c>
      <c r="DG150" s="233"/>
      <c r="DH150" s="233"/>
      <c r="DI150" s="296">
        <f>$M61</f>
        <v>31.25</v>
      </c>
      <c r="DJ150" s="297">
        <f>IF(DE103=0,0,(DI150/DE103*100))</f>
        <v>5</v>
      </c>
      <c r="DK150" s="297">
        <f>IF(DE104=0,0,(DI150/DE104*100))</f>
        <v>5</v>
      </c>
      <c r="DL150" s="297">
        <f>IF(DE105=0,0,(DI150/DE105*100))</f>
        <v>5</v>
      </c>
      <c r="DM150" s="168"/>
      <c r="DN150" s="168"/>
      <c r="DO150" s="229" t="s">
        <v>137</v>
      </c>
      <c r="DW150" s="233"/>
      <c r="DX150" s="233"/>
      <c r="DY150" s="296">
        <f>$M61</f>
        <v>31.25</v>
      </c>
      <c r="DZ150" s="297">
        <f>IF(DU103=0,0,(DY150/DU103*100))</f>
        <v>4.8076923076923084</v>
      </c>
      <c r="EA150" s="297">
        <f>IF(DU104=0,0,(DY150/DU104*100))</f>
        <v>4.8076923076923084</v>
      </c>
      <c r="EB150" s="297">
        <f>IF(DU105=0,0,(DY150/DU105*100))</f>
        <v>4.8076923076923084</v>
      </c>
      <c r="EC150" s="168"/>
      <c r="ED150" s="168"/>
      <c r="EE150" s="229" t="s">
        <v>137</v>
      </c>
      <c r="EM150" s="233"/>
      <c r="EN150" s="233"/>
      <c r="EO150" s="296">
        <f>$M61</f>
        <v>31.25</v>
      </c>
      <c r="EP150" s="297">
        <f>IF(EK103=0,0,(EO150/EK103*100))</f>
        <v>4.6296296296296298</v>
      </c>
      <c r="EQ150" s="297">
        <f>IF(EK104=0,0,(EO150/EK104*100))</f>
        <v>4.6296296296296298</v>
      </c>
      <c r="ER150" s="297">
        <f>IF(EK105=0,0,(EO150/EK105*100))</f>
        <v>4.6296296296296298</v>
      </c>
      <c r="ES150" s="168"/>
      <c r="ET150" s="168"/>
      <c r="EU150" s="229" t="s">
        <v>137</v>
      </c>
      <c r="FC150" s="233"/>
      <c r="FD150" s="233"/>
      <c r="FE150" s="296">
        <f>$M61</f>
        <v>31.25</v>
      </c>
      <c r="FF150" s="297">
        <f>IF(FA103=0,0,(FE150/FA103*100))</f>
        <v>4.4642857142857144</v>
      </c>
      <c r="FG150" s="297">
        <f>IF(FA104=0,0,(FE150/FA104*100))</f>
        <v>4.4642857142857144</v>
      </c>
      <c r="FH150" s="297">
        <f>IF(FA105=0,0,(FE150/FA105*100))</f>
        <v>4.4642857142857144</v>
      </c>
      <c r="FI150" s="168"/>
      <c r="FJ150" s="168"/>
      <c r="FK150" s="168"/>
      <c r="FL150" s="168"/>
      <c r="FM150" s="168"/>
      <c r="FN150" s="168"/>
      <c r="FO150" s="168"/>
      <c r="FP150" s="168"/>
      <c r="FQ150" s="168"/>
      <c r="FR150" s="168"/>
      <c r="FS150" s="168"/>
      <c r="FT150" s="168"/>
      <c r="FU150" s="168"/>
      <c r="FV150" s="168"/>
      <c r="FW150" s="168"/>
      <c r="FX150" s="168"/>
      <c r="FY150" s="168"/>
      <c r="FZ150" s="168"/>
      <c r="GA150" s="168"/>
      <c r="GB150" s="168"/>
      <c r="GC150" s="168"/>
      <c r="GD150" s="168"/>
      <c r="GE150" s="168"/>
      <c r="GF150" s="168"/>
      <c r="GG150" s="168"/>
      <c r="GH150" s="168"/>
      <c r="GI150" s="168"/>
      <c r="GJ150" s="168"/>
      <c r="GK150" s="168"/>
      <c r="GL150" s="168"/>
      <c r="GM150" s="168"/>
      <c r="GN150" s="168"/>
      <c r="GO150" s="168"/>
      <c r="GP150" s="168"/>
      <c r="GQ150" s="168"/>
      <c r="GR150" s="168"/>
      <c r="GS150" s="168"/>
      <c r="GT150" s="168"/>
      <c r="GU150" s="168"/>
      <c r="GV150" s="168"/>
      <c r="GW150" s="168"/>
      <c r="GX150" s="168"/>
      <c r="GY150" s="168"/>
      <c r="GZ150" s="168"/>
      <c r="HA150" s="168"/>
      <c r="HB150" s="168"/>
      <c r="HC150" s="168"/>
      <c r="HD150" s="168"/>
      <c r="HE150" s="168"/>
      <c r="HF150" s="168"/>
      <c r="HG150" s="168"/>
      <c r="HH150" s="168"/>
      <c r="HI150" s="162"/>
      <c r="HJ150" s="162"/>
      <c r="HK150" s="162"/>
      <c r="HL150" s="162"/>
      <c r="HM150" s="162"/>
      <c r="HN150" s="162"/>
      <c r="HO150" s="162"/>
      <c r="HP150" s="162"/>
      <c r="HQ150" s="162"/>
      <c r="HR150" s="162"/>
      <c r="HS150" s="162"/>
      <c r="HT150" s="162"/>
      <c r="HU150" s="162"/>
      <c r="HV150" s="162"/>
      <c r="HW150" s="162"/>
      <c r="HX150" s="162"/>
      <c r="HY150" s="162"/>
      <c r="HZ150" s="162"/>
      <c r="IA150" s="162"/>
      <c r="IB150" s="162"/>
      <c r="IC150" s="162"/>
      <c r="ID150" s="162"/>
      <c r="IE150" s="162"/>
      <c r="IF150" s="162"/>
      <c r="IG150" s="162"/>
      <c r="IH150" s="162"/>
      <c r="II150" s="162"/>
      <c r="IJ150" s="162"/>
      <c r="IK150" s="162"/>
      <c r="IL150" s="162"/>
      <c r="IM150" s="162"/>
      <c r="IN150" s="162"/>
      <c r="IO150" s="162"/>
      <c r="IP150" s="162"/>
      <c r="IQ150" s="162"/>
      <c r="IR150" s="162"/>
      <c r="IS150" s="162"/>
      <c r="IT150" s="162"/>
      <c r="IU150" s="162"/>
      <c r="IV150" s="162"/>
    </row>
    <row r="151" spans="1:256" s="187" customFormat="1" x14ac:dyDescent="0.2">
      <c r="A151" s="869"/>
      <c r="B151" s="923"/>
      <c r="C151" s="923"/>
      <c r="D151" s="923"/>
      <c r="E151" s="923"/>
      <c r="F151" s="923"/>
      <c r="G151" s="923"/>
      <c r="H151" s="923"/>
      <c r="I151" s="923"/>
      <c r="J151" s="923"/>
      <c r="K151" s="923"/>
      <c r="L151" s="923"/>
      <c r="M151" s="923"/>
      <c r="N151" s="923"/>
      <c r="O151" s="923"/>
      <c r="P151" s="923"/>
      <c r="Q151" s="912"/>
      <c r="R151" s="913"/>
      <c r="S151" s="167"/>
      <c r="T151" s="168"/>
      <c r="U151" s="168"/>
      <c r="V151" s="168"/>
      <c r="W151" s="276" t="s">
        <v>141</v>
      </c>
      <c r="AE151" s="277"/>
      <c r="AF151" s="277"/>
      <c r="AG151" s="278"/>
      <c r="AH151" s="279"/>
      <c r="AI151" s="279"/>
      <c r="AJ151" s="279"/>
      <c r="AK151" s="168"/>
      <c r="AL151" s="168"/>
      <c r="AM151" s="276" t="s">
        <v>141</v>
      </c>
      <c r="AU151" s="277"/>
      <c r="AV151" s="277"/>
      <c r="AW151" s="278"/>
      <c r="AX151" s="279"/>
      <c r="AY151" s="279"/>
      <c r="AZ151" s="279"/>
      <c r="BA151" s="168"/>
      <c r="BB151" s="168"/>
      <c r="BC151" s="276" t="s">
        <v>141</v>
      </c>
      <c r="BK151" s="277"/>
      <c r="BL151" s="277"/>
      <c r="BM151" s="278"/>
      <c r="BN151" s="279"/>
      <c r="BO151" s="279"/>
      <c r="BP151" s="279"/>
      <c r="BQ151" s="168"/>
      <c r="BR151" s="168"/>
      <c r="BS151" s="276" t="s">
        <v>141</v>
      </c>
      <c r="CA151" s="277"/>
      <c r="CB151" s="277"/>
      <c r="CC151" s="278"/>
      <c r="CD151" s="279"/>
      <c r="CE151" s="279"/>
      <c r="CF151" s="279"/>
      <c r="CG151" s="168"/>
      <c r="CH151" s="168"/>
      <c r="CI151" s="276" t="s">
        <v>141</v>
      </c>
      <c r="CQ151" s="277"/>
      <c r="CR151" s="277"/>
      <c r="CS151" s="278"/>
      <c r="CT151" s="279"/>
      <c r="CU151" s="279"/>
      <c r="CV151" s="279"/>
      <c r="CW151" s="168"/>
      <c r="CX151" s="168"/>
      <c r="CY151" s="276" t="s">
        <v>141</v>
      </c>
      <c r="DG151" s="277"/>
      <c r="DH151" s="277"/>
      <c r="DI151" s="278"/>
      <c r="DJ151" s="279"/>
      <c r="DK151" s="279"/>
      <c r="DL151" s="279"/>
      <c r="DM151" s="168"/>
      <c r="DN151" s="168"/>
      <c r="DO151" s="276" t="s">
        <v>141</v>
      </c>
      <c r="DW151" s="277"/>
      <c r="DX151" s="277"/>
      <c r="DY151" s="278"/>
      <c r="DZ151" s="279"/>
      <c r="EA151" s="279"/>
      <c r="EB151" s="279"/>
      <c r="EC151" s="168"/>
      <c r="ED151" s="168"/>
      <c r="EE151" s="276" t="s">
        <v>141</v>
      </c>
      <c r="EM151" s="277"/>
      <c r="EN151" s="277"/>
      <c r="EO151" s="278"/>
      <c r="EP151" s="279"/>
      <c r="EQ151" s="279"/>
      <c r="ER151" s="279"/>
      <c r="ES151" s="168"/>
      <c r="ET151" s="168"/>
      <c r="EU151" s="276" t="s">
        <v>141</v>
      </c>
      <c r="FC151" s="277"/>
      <c r="FD151" s="277"/>
      <c r="FE151" s="278"/>
      <c r="FF151" s="279"/>
      <c r="FG151" s="279"/>
      <c r="FH151" s="279"/>
      <c r="FI151" s="168"/>
      <c r="FJ151" s="168"/>
      <c r="FK151" s="168"/>
      <c r="FL151" s="168"/>
      <c r="FM151" s="168"/>
      <c r="FN151" s="168"/>
      <c r="FO151" s="168"/>
      <c r="FP151" s="168"/>
      <c r="FQ151" s="168"/>
      <c r="FR151" s="168"/>
      <c r="FS151" s="168"/>
      <c r="FT151" s="168"/>
      <c r="FU151" s="168"/>
      <c r="FV151" s="168"/>
      <c r="FW151" s="168"/>
      <c r="FX151" s="168"/>
      <c r="FY151" s="168"/>
      <c r="FZ151" s="168"/>
      <c r="GA151" s="168"/>
      <c r="GB151" s="168"/>
      <c r="GC151" s="168"/>
      <c r="GD151" s="168"/>
      <c r="GE151" s="168"/>
      <c r="GF151" s="168"/>
      <c r="GG151" s="168"/>
      <c r="GH151" s="168"/>
      <c r="GI151" s="168"/>
      <c r="GJ151" s="168"/>
      <c r="GK151" s="168"/>
      <c r="GL151" s="168"/>
      <c r="GM151" s="168"/>
      <c r="GN151" s="168"/>
      <c r="GO151" s="168"/>
      <c r="GP151" s="168"/>
      <c r="GQ151" s="168"/>
      <c r="GR151" s="168"/>
      <c r="GS151" s="168"/>
      <c r="GT151" s="168"/>
      <c r="GU151" s="168"/>
      <c r="GV151" s="168"/>
      <c r="GW151" s="168"/>
      <c r="GX151" s="168"/>
      <c r="GY151" s="168"/>
      <c r="GZ151" s="168"/>
      <c r="HA151" s="168"/>
      <c r="HB151" s="168"/>
      <c r="HC151" s="168"/>
      <c r="HD151" s="168"/>
      <c r="HE151" s="168"/>
      <c r="HF151" s="168"/>
      <c r="HG151" s="168"/>
      <c r="HH151" s="168"/>
      <c r="HI151" s="162"/>
      <c r="HJ151" s="162"/>
      <c r="HK151" s="162"/>
      <c r="HL151" s="162"/>
      <c r="HM151" s="162"/>
      <c r="HN151" s="162"/>
      <c r="HO151" s="162"/>
      <c r="HP151" s="162"/>
      <c r="HQ151" s="162"/>
      <c r="HR151" s="162"/>
      <c r="HS151" s="162"/>
      <c r="HT151" s="162"/>
      <c r="HU151" s="162"/>
      <c r="HV151" s="162"/>
      <c r="HW151" s="162"/>
      <c r="HX151" s="162"/>
      <c r="HY151" s="162"/>
      <c r="HZ151" s="162"/>
      <c r="IA151" s="162"/>
      <c r="IB151" s="162"/>
      <c r="IC151" s="162"/>
      <c r="ID151" s="162"/>
      <c r="IE151" s="162"/>
      <c r="IF151" s="162"/>
      <c r="IG151" s="162"/>
      <c r="IH151" s="162"/>
      <c r="II151" s="162"/>
      <c r="IJ151" s="162"/>
      <c r="IK151" s="162"/>
      <c r="IL151" s="162"/>
      <c r="IM151" s="162"/>
      <c r="IN151" s="162"/>
      <c r="IO151" s="162"/>
      <c r="IP151" s="162"/>
      <c r="IQ151" s="162"/>
      <c r="IR151" s="162"/>
      <c r="IS151" s="162"/>
      <c r="IT151" s="162"/>
      <c r="IU151" s="162"/>
      <c r="IV151" s="162"/>
    </row>
    <row r="152" spans="1:256" s="168" customFormat="1" x14ac:dyDescent="0.2">
      <c r="A152" s="869"/>
      <c r="B152" s="923"/>
      <c r="C152" s="923"/>
      <c r="D152" s="923"/>
      <c r="E152" s="923"/>
      <c r="F152" s="923"/>
      <c r="G152" s="923"/>
      <c r="H152" s="923"/>
      <c r="I152" s="923"/>
      <c r="J152" s="923"/>
      <c r="K152" s="923"/>
      <c r="L152" s="923"/>
      <c r="M152" s="923"/>
      <c r="N152" s="923"/>
      <c r="O152" s="923"/>
      <c r="P152" s="923"/>
      <c r="Q152" s="912"/>
      <c r="R152" s="913"/>
      <c r="S152" s="167"/>
      <c r="W152" s="298" t="s">
        <v>142</v>
      </c>
      <c r="AA152" s="168" t="e">
        <f>SUM(AA103*AH152)/100</f>
        <v>#DIV/0!</v>
      </c>
      <c r="AC152" s="168" t="e">
        <f>SUM(AA104*AI152)/100</f>
        <v>#DIV/0!</v>
      </c>
      <c r="AE152" s="191">
        <f>SUM(AA105*AJ152)/100</f>
        <v>0</v>
      </c>
      <c r="AF152" s="191"/>
      <c r="AG152" s="192">
        <f>SUM((AA103*Y116/Y125)+(AA104*Y122/Y125)+(AA105*Y124/Y125))*(Data!E138)</f>
        <v>0</v>
      </c>
      <c r="AH152" s="244" t="e">
        <f>$N63</f>
        <v>#DIV/0!</v>
      </c>
      <c r="AI152" s="244" t="e">
        <f>$O63</f>
        <v>#DIV/0!</v>
      </c>
      <c r="AJ152" s="244">
        <f>$P63</f>
        <v>0</v>
      </c>
      <c r="AM152" s="298" t="s">
        <v>142</v>
      </c>
      <c r="AQ152" s="168" t="e">
        <f>SUM(AQ103*AX152)/100</f>
        <v>#DIV/0!</v>
      </c>
      <c r="AS152" s="168" t="e">
        <f>SUM(AQ104*AY152)/100</f>
        <v>#DIV/0!</v>
      </c>
      <c r="AU152" s="191">
        <f>SUM(AQ105*AZ152)/100</f>
        <v>0</v>
      </c>
      <c r="AV152" s="191"/>
      <c r="AW152" s="192">
        <f>SUM((AQ103*AO116/AO125)+(AQ104*AO122/AO125)+(AQ105*AO124/AO125))*(Data!E138)</f>
        <v>0</v>
      </c>
      <c r="AX152" s="244" t="e">
        <f>$N63</f>
        <v>#DIV/0!</v>
      </c>
      <c r="AY152" s="244" t="e">
        <f>$O63</f>
        <v>#DIV/0!</v>
      </c>
      <c r="AZ152" s="244">
        <f>$P63</f>
        <v>0</v>
      </c>
      <c r="BC152" s="298" t="s">
        <v>142</v>
      </c>
      <c r="BG152" s="168" t="e">
        <f>SUM(BG103*BN152)/100</f>
        <v>#DIV/0!</v>
      </c>
      <c r="BI152" s="168" t="e">
        <f>SUM(BG104*BO152)/100</f>
        <v>#DIV/0!</v>
      </c>
      <c r="BK152" s="191">
        <f>SUM(BG105*BP152)/100</f>
        <v>0</v>
      </c>
      <c r="BL152" s="191"/>
      <c r="BM152" s="192">
        <f>SUM((BG103*BE116/BE125)+(BG104*BE122/BE125)+(BG105*BE124/BE125))*(Data!E138)</f>
        <v>0</v>
      </c>
      <c r="BN152" s="244" t="e">
        <f>$N63</f>
        <v>#DIV/0!</v>
      </c>
      <c r="BO152" s="244" t="e">
        <f>$O63</f>
        <v>#DIV/0!</v>
      </c>
      <c r="BP152" s="244">
        <f>$P63</f>
        <v>0</v>
      </c>
      <c r="BS152" s="298" t="s">
        <v>142</v>
      </c>
      <c r="BW152" s="168" t="e">
        <f>SUM(BW103*CD152)/100</f>
        <v>#DIV/0!</v>
      </c>
      <c r="BY152" s="168" t="e">
        <f>SUM(BW104*CE152)/100</f>
        <v>#DIV/0!</v>
      </c>
      <c r="CA152" s="191">
        <f>SUM(BW105*CF152)/100</f>
        <v>0</v>
      </c>
      <c r="CB152" s="191"/>
      <c r="CC152" s="192">
        <f>SUM((BW103*BU116/BU125)+(BW104*BU122/BU125)+(BW105*BU124/BU125))*(Data!E138)</f>
        <v>0</v>
      </c>
      <c r="CD152" s="244" t="e">
        <f>$N63</f>
        <v>#DIV/0!</v>
      </c>
      <c r="CE152" s="244" t="e">
        <f>$O63</f>
        <v>#DIV/0!</v>
      </c>
      <c r="CF152" s="244">
        <f>$P63</f>
        <v>0</v>
      </c>
      <c r="CI152" s="298" t="s">
        <v>142</v>
      </c>
      <c r="CM152" s="168" t="e">
        <f>SUM(CM103*CT152)/100</f>
        <v>#DIV/0!</v>
      </c>
      <c r="CO152" s="168" t="e">
        <f>SUM(CM104*CU152)/100</f>
        <v>#DIV/0!</v>
      </c>
      <c r="CQ152" s="191">
        <f>SUM(CM105*CV152)/100</f>
        <v>0</v>
      </c>
      <c r="CR152" s="191"/>
      <c r="CS152" s="192">
        <f>SUM((CM103*CK116/CK125)+(CM104*CK122/CK125)+(CM105*CK124/CK125))*(Data!E138)</f>
        <v>0</v>
      </c>
      <c r="CT152" s="244" t="e">
        <f>$N63</f>
        <v>#DIV/0!</v>
      </c>
      <c r="CU152" s="244" t="e">
        <f>$O63</f>
        <v>#DIV/0!</v>
      </c>
      <c r="CV152" s="244">
        <f>$P63</f>
        <v>0</v>
      </c>
      <c r="CY152" s="298" t="s">
        <v>142</v>
      </c>
      <c r="DC152" s="168" t="e">
        <f>SUM(DC103*DJ152)/100</f>
        <v>#DIV/0!</v>
      </c>
      <c r="DE152" s="168" t="e">
        <f>SUM(DC104*DK152)/100</f>
        <v>#DIV/0!</v>
      </c>
      <c r="DG152" s="191">
        <f>SUM(DC105*DL152)/100</f>
        <v>0</v>
      </c>
      <c r="DH152" s="191"/>
      <c r="DI152" s="192">
        <f>SUM((DC103*DA116/DA125)+(DC104*DA122/DA125)+(DC105*DA124/DA125))*(Data!E138)</f>
        <v>0</v>
      </c>
      <c r="DJ152" s="244" t="e">
        <f>$N63</f>
        <v>#DIV/0!</v>
      </c>
      <c r="DK152" s="244" t="e">
        <f>$O63</f>
        <v>#DIV/0!</v>
      </c>
      <c r="DL152" s="244">
        <f>$P63</f>
        <v>0</v>
      </c>
      <c r="DO152" s="298" t="s">
        <v>142</v>
      </c>
      <c r="DS152" s="168" t="e">
        <f>SUM(DS103*DZ152)/100</f>
        <v>#DIV/0!</v>
      </c>
      <c r="DU152" s="168" t="e">
        <f>SUM(DS104*EA152)/100</f>
        <v>#DIV/0!</v>
      </c>
      <c r="DW152" s="191">
        <f>SUM(DS105*EB152)/100</f>
        <v>0</v>
      </c>
      <c r="DX152" s="191"/>
      <c r="DY152" s="192">
        <f>SUM((DS103*DQ116/DQ125)+(DS104*DQ122/DQ125)+(DS105*DQ124/DQ125))*(Data!E138)</f>
        <v>0</v>
      </c>
      <c r="DZ152" s="244" t="e">
        <f>$N63</f>
        <v>#DIV/0!</v>
      </c>
      <c r="EA152" s="244" t="e">
        <f>$O63</f>
        <v>#DIV/0!</v>
      </c>
      <c r="EB152" s="244">
        <f>$P63</f>
        <v>0</v>
      </c>
      <c r="EE152" s="298" t="s">
        <v>142</v>
      </c>
      <c r="EI152" s="168" t="e">
        <f>SUM(EI103*EP152)/100</f>
        <v>#DIV/0!</v>
      </c>
      <c r="EK152" s="168" t="e">
        <f>SUM(EI104*EQ152)/100</f>
        <v>#DIV/0!</v>
      </c>
      <c r="EM152" s="191">
        <f>SUM(EI105*ER152)/100</f>
        <v>0</v>
      </c>
      <c r="EN152" s="191"/>
      <c r="EO152" s="192">
        <f>SUM((EI103*EG116/EG125)+(EI104*EG122/EG125)+(EI105*EG124/EG125))*(Data!E138)</f>
        <v>0</v>
      </c>
      <c r="EP152" s="244" t="e">
        <f>$N63</f>
        <v>#DIV/0!</v>
      </c>
      <c r="EQ152" s="244" t="e">
        <f>$O63</f>
        <v>#DIV/0!</v>
      </c>
      <c r="ER152" s="244">
        <f>$P63</f>
        <v>0</v>
      </c>
      <c r="EU152" s="298" t="s">
        <v>142</v>
      </c>
      <c r="EY152" s="168" t="e">
        <f>SUM(EY103*FF152)/100</f>
        <v>#DIV/0!</v>
      </c>
      <c r="FA152" s="168" t="e">
        <f>SUM(EY104*FG152)/100</f>
        <v>#DIV/0!</v>
      </c>
      <c r="FC152" s="191">
        <f>SUM(EY105*FH152)/100</f>
        <v>0</v>
      </c>
      <c r="FD152" s="191"/>
      <c r="FE152" s="192">
        <f>SUM((EY103*EW116/EW125)+(EY104*EW122/EW125)+(EY105*EW124/EW125))*(Data!E138)</f>
        <v>0</v>
      </c>
      <c r="FF152" s="244" t="e">
        <f>$N63</f>
        <v>#DIV/0!</v>
      </c>
      <c r="FG152" s="244" t="e">
        <f>$O63</f>
        <v>#DIV/0!</v>
      </c>
      <c r="FH152" s="244">
        <f>$P63</f>
        <v>0</v>
      </c>
      <c r="HI152" s="162"/>
      <c r="HJ152" s="162"/>
      <c r="HK152" s="162"/>
      <c r="HL152" s="162"/>
      <c r="HM152" s="162"/>
      <c r="HN152" s="162"/>
      <c r="HO152" s="162"/>
      <c r="HP152" s="162"/>
      <c r="HQ152" s="162"/>
      <c r="HR152" s="162"/>
      <c r="HS152" s="162"/>
      <c r="HT152" s="162"/>
      <c r="HU152" s="162"/>
      <c r="HV152" s="162"/>
      <c r="HW152" s="162"/>
      <c r="HX152" s="162"/>
      <c r="HY152" s="162"/>
      <c r="HZ152" s="162"/>
      <c r="IA152" s="162"/>
      <c r="IB152" s="162"/>
      <c r="IC152" s="162"/>
      <c r="ID152" s="162"/>
      <c r="IE152" s="162"/>
      <c r="IF152" s="162"/>
      <c r="IG152" s="162"/>
      <c r="IH152" s="162"/>
      <c r="II152" s="162"/>
      <c r="IJ152" s="162"/>
      <c r="IK152" s="162"/>
      <c r="IL152" s="162"/>
      <c r="IM152" s="162"/>
      <c r="IN152" s="162"/>
      <c r="IO152" s="162"/>
      <c r="IP152" s="162"/>
      <c r="IQ152" s="162"/>
      <c r="IR152" s="162"/>
      <c r="IS152" s="162"/>
      <c r="IT152" s="162"/>
      <c r="IU152" s="162"/>
      <c r="IV152" s="162"/>
    </row>
    <row r="153" spans="1:256" s="168" customFormat="1" x14ac:dyDescent="0.2">
      <c r="A153" s="869"/>
      <c r="B153" s="923"/>
      <c r="C153" s="923"/>
      <c r="D153" s="923"/>
      <c r="E153" s="923"/>
      <c r="F153" s="923"/>
      <c r="G153" s="923"/>
      <c r="H153" s="923"/>
      <c r="I153" s="923"/>
      <c r="J153" s="923"/>
      <c r="K153" s="923"/>
      <c r="L153" s="923"/>
      <c r="M153" s="923"/>
      <c r="N153" s="923"/>
      <c r="O153" s="923"/>
      <c r="P153" s="923"/>
      <c r="Q153" s="912"/>
      <c r="R153" s="913"/>
      <c r="S153" s="167"/>
      <c r="W153" s="298" t="s">
        <v>143</v>
      </c>
      <c r="AA153" s="168">
        <f>SUM(AA103*AH153)/100</f>
        <v>0</v>
      </c>
      <c r="AC153" s="168">
        <f>SUM(AA104*AI153)/100</f>
        <v>0</v>
      </c>
      <c r="AE153" s="191">
        <f>SUM(AA105*AJ153)/100</f>
        <v>0</v>
      </c>
      <c r="AF153" s="191"/>
      <c r="AG153" s="192">
        <f>SUM((AA103*Y116/Y125)+(AA104*Y122/Y125)+(AA105*Y124/Y125))*(Data!E139)</f>
        <v>0</v>
      </c>
      <c r="AH153" s="244">
        <f>$N64</f>
        <v>0</v>
      </c>
      <c r="AI153" s="244">
        <f>$O64</f>
        <v>0</v>
      </c>
      <c r="AJ153" s="244">
        <f>$P64</f>
        <v>0</v>
      </c>
      <c r="AM153" s="298" t="s">
        <v>143</v>
      </c>
      <c r="AQ153" s="168">
        <f>SUM(AQ103*AX153)/100</f>
        <v>0</v>
      </c>
      <c r="AS153" s="168">
        <f>SUM(AQ104*AY153)/100</f>
        <v>0</v>
      </c>
      <c r="AU153" s="191">
        <f>SUM(AQ105*AZ153)/100</f>
        <v>0</v>
      </c>
      <c r="AV153" s="191"/>
      <c r="AW153" s="192">
        <f>SUM((AQ103*AO116/AO125)+(AQ104*AO122/AO125)+(AQ105*AO124/AO125))*(Data!E139)</f>
        <v>0</v>
      </c>
      <c r="AX153" s="244">
        <f>$N64</f>
        <v>0</v>
      </c>
      <c r="AY153" s="244">
        <f>$O64</f>
        <v>0</v>
      </c>
      <c r="AZ153" s="244">
        <f>$P64</f>
        <v>0</v>
      </c>
      <c r="BC153" s="298" t="s">
        <v>143</v>
      </c>
      <c r="BG153" s="168">
        <f>SUM(BG103*BN153)/100</f>
        <v>0</v>
      </c>
      <c r="BI153" s="168">
        <f>SUM(BG104*BO153)/100</f>
        <v>0</v>
      </c>
      <c r="BK153" s="191">
        <f>SUM(BG105*BP153)/100</f>
        <v>0</v>
      </c>
      <c r="BL153" s="191"/>
      <c r="BM153" s="192">
        <f>SUM((BG103*BE116/BE125)+(BG104*BE122/BE125)+(BG105*BE124/BE125))*(Data!E139)</f>
        <v>0</v>
      </c>
      <c r="BN153" s="244">
        <f>$N64</f>
        <v>0</v>
      </c>
      <c r="BO153" s="244">
        <f>$O64</f>
        <v>0</v>
      </c>
      <c r="BP153" s="244">
        <f>$P64</f>
        <v>0</v>
      </c>
      <c r="BS153" s="298" t="s">
        <v>143</v>
      </c>
      <c r="BW153" s="168">
        <f>SUM(BW103*CD153)/100</f>
        <v>0</v>
      </c>
      <c r="BY153" s="168">
        <f>SUM(BW104*CE153)/100</f>
        <v>0</v>
      </c>
      <c r="CA153" s="191">
        <f>SUM(BW105*CF153)/100</f>
        <v>0</v>
      </c>
      <c r="CB153" s="191"/>
      <c r="CC153" s="192">
        <f>SUM((BW103*BU116/BU125)+(BW104*BU122/BU125)+(BW105*BU124/BU125))*(Data!E139)</f>
        <v>0</v>
      </c>
      <c r="CD153" s="244">
        <f>$N64</f>
        <v>0</v>
      </c>
      <c r="CE153" s="244">
        <f>$O64</f>
        <v>0</v>
      </c>
      <c r="CF153" s="244">
        <f>$P64</f>
        <v>0</v>
      </c>
      <c r="CI153" s="298" t="s">
        <v>143</v>
      </c>
      <c r="CM153" s="168">
        <f>SUM(CM103*CT153)/100</f>
        <v>0</v>
      </c>
      <c r="CO153" s="168">
        <f>SUM(CM104*CU153)/100</f>
        <v>0</v>
      </c>
      <c r="CQ153" s="191">
        <f>SUM(CM105*CV153)/100</f>
        <v>0</v>
      </c>
      <c r="CR153" s="191"/>
      <c r="CS153" s="192">
        <f>SUM((CM103*CK116/CK125)+(CM104*CK122/CK125)+(CM105*CK124/CK125))*(Data!E139)</f>
        <v>0</v>
      </c>
      <c r="CT153" s="244">
        <f>$N64</f>
        <v>0</v>
      </c>
      <c r="CU153" s="244">
        <f>$O64</f>
        <v>0</v>
      </c>
      <c r="CV153" s="244">
        <f>$P64</f>
        <v>0</v>
      </c>
      <c r="CY153" s="298" t="s">
        <v>143</v>
      </c>
      <c r="DC153" s="168">
        <f>SUM(DC103*DJ153)/100</f>
        <v>0</v>
      </c>
      <c r="DE153" s="168">
        <f>SUM(DC104*DK153)/100</f>
        <v>0</v>
      </c>
      <c r="DG153" s="191">
        <f>SUM(DC105*DL153)/100</f>
        <v>0</v>
      </c>
      <c r="DH153" s="191"/>
      <c r="DI153" s="192">
        <f>SUM((DC103*DA116/DA125)+(DC104*DA122/DA125)+(DC105*DA124/DA125))*(Data!E139)</f>
        <v>0</v>
      </c>
      <c r="DJ153" s="244">
        <f>$N64</f>
        <v>0</v>
      </c>
      <c r="DK153" s="244">
        <f>$O64</f>
        <v>0</v>
      </c>
      <c r="DL153" s="244">
        <f>$P64</f>
        <v>0</v>
      </c>
      <c r="DO153" s="298" t="s">
        <v>143</v>
      </c>
      <c r="DS153" s="168">
        <f>SUM(DS103*DZ153)/100</f>
        <v>0</v>
      </c>
      <c r="DU153" s="168">
        <f>SUM(DS104*EA153)/100</f>
        <v>0</v>
      </c>
      <c r="DW153" s="191">
        <f>SUM(DS105*EB153)/100</f>
        <v>0</v>
      </c>
      <c r="DX153" s="191"/>
      <c r="DY153" s="192">
        <f>SUM((DS103*DQ116/DQ125)+(DS104*DQ122/DQ125)+(DS105*DQ124/DQ125))*(Data!E139)</f>
        <v>0</v>
      </c>
      <c r="DZ153" s="244">
        <f>$N64</f>
        <v>0</v>
      </c>
      <c r="EA153" s="244">
        <f>$O64</f>
        <v>0</v>
      </c>
      <c r="EB153" s="244">
        <f>$P64</f>
        <v>0</v>
      </c>
      <c r="EE153" s="298" t="s">
        <v>143</v>
      </c>
      <c r="EI153" s="168">
        <f>SUM(EI103*EP153)/100</f>
        <v>0</v>
      </c>
      <c r="EK153" s="168">
        <f>SUM(EI104*EQ153)/100</f>
        <v>0</v>
      </c>
      <c r="EM153" s="191">
        <f>SUM(EI105*ER153)/100</f>
        <v>0</v>
      </c>
      <c r="EN153" s="191"/>
      <c r="EO153" s="192">
        <f>SUM((EI103*EG116/EG125)+(EI104*EG122/EG125)+(EI105*EG124/EG125))*(Data!E139)</f>
        <v>0</v>
      </c>
      <c r="EP153" s="244">
        <f>$N64</f>
        <v>0</v>
      </c>
      <c r="EQ153" s="244">
        <f>$O64</f>
        <v>0</v>
      </c>
      <c r="ER153" s="244">
        <f>$P64</f>
        <v>0</v>
      </c>
      <c r="EU153" s="298" t="s">
        <v>143</v>
      </c>
      <c r="EY153" s="168">
        <f>SUM(EY103*FF153)/100</f>
        <v>0</v>
      </c>
      <c r="FA153" s="168">
        <f>SUM(EY104*FG153)/100</f>
        <v>0</v>
      </c>
      <c r="FC153" s="191">
        <f>SUM(EY105*FH153)/100</f>
        <v>0</v>
      </c>
      <c r="FD153" s="191"/>
      <c r="FE153" s="192">
        <f>SUM((EY103*EW116/EW125)+(EY104*EW122/EW125)+(EY105*EW124/EW125))*(Data!E139)</f>
        <v>0</v>
      </c>
      <c r="FF153" s="244">
        <f>$N64</f>
        <v>0</v>
      </c>
      <c r="FG153" s="244">
        <f>$O64</f>
        <v>0</v>
      </c>
      <c r="FH153" s="244">
        <f>$P64</f>
        <v>0</v>
      </c>
      <c r="HI153" s="162"/>
      <c r="HJ153" s="162"/>
      <c r="HK153" s="162"/>
      <c r="HL153" s="162"/>
      <c r="HM153" s="162"/>
      <c r="HN153" s="162"/>
      <c r="HO153" s="162"/>
      <c r="HP153" s="162"/>
      <c r="HQ153" s="162"/>
      <c r="HR153" s="162"/>
      <c r="HS153" s="162"/>
      <c r="HT153" s="162"/>
      <c r="HU153" s="162"/>
      <c r="HV153" s="162"/>
      <c r="HW153" s="162"/>
      <c r="HX153" s="162"/>
      <c r="HY153" s="162"/>
      <c r="HZ153" s="162"/>
      <c r="IA153" s="162"/>
      <c r="IB153" s="162"/>
      <c r="IC153" s="162"/>
      <c r="ID153" s="162"/>
      <c r="IE153" s="162"/>
      <c r="IF153" s="162"/>
      <c r="IG153" s="162"/>
      <c r="IH153" s="162"/>
      <c r="II153" s="162"/>
      <c r="IJ153" s="162"/>
      <c r="IK153" s="162"/>
      <c r="IL153" s="162"/>
      <c r="IM153" s="162"/>
      <c r="IN153" s="162"/>
      <c r="IO153" s="162"/>
      <c r="IP153" s="162"/>
      <c r="IQ153" s="162"/>
      <c r="IR153" s="162"/>
      <c r="IS153" s="162"/>
      <c r="IT153" s="162"/>
      <c r="IU153" s="162"/>
      <c r="IV153" s="162"/>
    </row>
    <row r="154" spans="1:256" s="168" customFormat="1" x14ac:dyDescent="0.2">
      <c r="A154" s="869"/>
      <c r="B154" s="923"/>
      <c r="C154" s="923"/>
      <c r="D154" s="923"/>
      <c r="E154" s="923"/>
      <c r="F154" s="923"/>
      <c r="G154" s="923"/>
      <c r="H154" s="923"/>
      <c r="I154" s="923"/>
      <c r="J154" s="923"/>
      <c r="K154" s="923"/>
      <c r="L154" s="923"/>
      <c r="M154" s="923"/>
      <c r="N154" s="923"/>
      <c r="O154" s="923"/>
      <c r="P154" s="923"/>
      <c r="Q154" s="912"/>
      <c r="R154" s="913"/>
      <c r="S154" s="167"/>
      <c r="W154" s="298" t="s">
        <v>144</v>
      </c>
      <c r="AA154" s="168">
        <f>SUM(AA103*AH154)/100</f>
        <v>0</v>
      </c>
      <c r="AC154" s="168">
        <f>SUM(AA104*AI154)/100</f>
        <v>0</v>
      </c>
      <c r="AE154" s="191">
        <f>SUM(AA105*AJ154)/100</f>
        <v>0</v>
      </c>
      <c r="AF154" s="191"/>
      <c r="AG154" s="192">
        <f>SUM((AA103*Y116/Y125)+(AA104*Y122/Y125)+(AA105*Y124/Y125))*(Data!E140*Data!F140)</f>
        <v>0</v>
      </c>
      <c r="AH154" s="244">
        <f>$N65</f>
        <v>0</v>
      </c>
      <c r="AI154" s="244">
        <f>$O65</f>
        <v>0</v>
      </c>
      <c r="AJ154" s="244">
        <f>$P65</f>
        <v>0</v>
      </c>
      <c r="AM154" s="298" t="s">
        <v>144</v>
      </c>
      <c r="AQ154" s="168">
        <f>SUM(AQ103*AX154)/100</f>
        <v>0</v>
      </c>
      <c r="AS154" s="168">
        <f>SUM(AQ104*AY154)/100</f>
        <v>0</v>
      </c>
      <c r="AU154" s="191">
        <f>SUM(AQ105*AZ154)/100</f>
        <v>0</v>
      </c>
      <c r="AV154" s="191"/>
      <c r="AW154" s="192">
        <f>SUM((AQ103*AO116/AO125)+(AQ104*AO122/AO125)+(AQ105*AO124/AO125))*(Data!E140*Data!F140)</f>
        <v>0</v>
      </c>
      <c r="AX154" s="244">
        <f>$N65</f>
        <v>0</v>
      </c>
      <c r="AY154" s="244">
        <f>$O65</f>
        <v>0</v>
      </c>
      <c r="AZ154" s="244">
        <f>$P65</f>
        <v>0</v>
      </c>
      <c r="BC154" s="298" t="s">
        <v>144</v>
      </c>
      <c r="BG154" s="168">
        <f>SUM(BG103*BN154)/100</f>
        <v>0</v>
      </c>
      <c r="BI154" s="168">
        <f>SUM(BG104*BO154)/100</f>
        <v>0</v>
      </c>
      <c r="BK154" s="191">
        <f>SUM(BG105*BP154)/100</f>
        <v>0</v>
      </c>
      <c r="BL154" s="191"/>
      <c r="BM154" s="192">
        <f>SUM((BG103*BE116/BE125)+(BG104*BE122/BE125)+(BG105*BE124/BE125))*(Data!E140*Data!F140)</f>
        <v>0</v>
      </c>
      <c r="BN154" s="244">
        <f>$N65</f>
        <v>0</v>
      </c>
      <c r="BO154" s="244">
        <f>$O65</f>
        <v>0</v>
      </c>
      <c r="BP154" s="244">
        <f>$P65</f>
        <v>0</v>
      </c>
      <c r="BS154" s="298" t="s">
        <v>144</v>
      </c>
      <c r="BW154" s="168">
        <f>SUM(BW103*CD154)/100</f>
        <v>0</v>
      </c>
      <c r="BY154" s="168">
        <f>SUM(BW104*CE154)/100</f>
        <v>0</v>
      </c>
      <c r="CA154" s="191">
        <f>SUM(BW105*CF154)/100</f>
        <v>0</v>
      </c>
      <c r="CB154" s="191"/>
      <c r="CC154" s="192">
        <f>SUM((BW103*BU116/BU125)+(BW104*BU122/BU125)+(BW105*BU124/BU125))*(Data!E140*Data!F140)</f>
        <v>0</v>
      </c>
      <c r="CD154" s="244">
        <f>$N65</f>
        <v>0</v>
      </c>
      <c r="CE154" s="244">
        <f>$O65</f>
        <v>0</v>
      </c>
      <c r="CF154" s="244">
        <f>$P65</f>
        <v>0</v>
      </c>
      <c r="CI154" s="298" t="s">
        <v>144</v>
      </c>
      <c r="CM154" s="168">
        <f>SUM(CM103*CT154)/100</f>
        <v>0</v>
      </c>
      <c r="CO154" s="168">
        <f>SUM(CM104*CU154)/100</f>
        <v>0</v>
      </c>
      <c r="CQ154" s="191">
        <f>SUM(CM105*CV154)/100</f>
        <v>0</v>
      </c>
      <c r="CR154" s="191"/>
      <c r="CS154" s="192">
        <f>SUM((CM103*CK116/CK125)+(CM104*CK122/CK125)+(CM105*CK124/CK125))*(Data!E140*Data!F140)</f>
        <v>0</v>
      </c>
      <c r="CT154" s="244">
        <f>$N65</f>
        <v>0</v>
      </c>
      <c r="CU154" s="244">
        <f>$O65</f>
        <v>0</v>
      </c>
      <c r="CV154" s="244">
        <f>$P65</f>
        <v>0</v>
      </c>
      <c r="CY154" s="298" t="s">
        <v>144</v>
      </c>
      <c r="DC154" s="168">
        <f>SUM(DC103*DJ154)/100</f>
        <v>0</v>
      </c>
      <c r="DE154" s="168">
        <f>SUM(DC104*DK154)/100</f>
        <v>0</v>
      </c>
      <c r="DG154" s="191">
        <f>SUM(DC105*DL154)/100</f>
        <v>0</v>
      </c>
      <c r="DH154" s="191"/>
      <c r="DI154" s="192">
        <f>SUM((DC103*DA116/DA125)+(DC104*DA122/DA125)+(DC105*DA124/DA125))*(Data!E140*Data!F140)</f>
        <v>0</v>
      </c>
      <c r="DJ154" s="244">
        <f>$N65</f>
        <v>0</v>
      </c>
      <c r="DK154" s="244">
        <f>$O65</f>
        <v>0</v>
      </c>
      <c r="DL154" s="244">
        <f>$P65</f>
        <v>0</v>
      </c>
      <c r="DO154" s="298" t="s">
        <v>144</v>
      </c>
      <c r="DS154" s="168">
        <f>SUM(DS103*DZ154)/100</f>
        <v>0</v>
      </c>
      <c r="DU154" s="168">
        <f>SUM(DS104*EA154)/100</f>
        <v>0</v>
      </c>
      <c r="DW154" s="191">
        <f>SUM(DS105*EB154)/100</f>
        <v>0</v>
      </c>
      <c r="DX154" s="191"/>
      <c r="DY154" s="192">
        <f>SUM((DS103*DQ116/DQ125)+(DS104*DQ122/DQ125)+(DS105*DQ124/DQ125))*(Data!E140*Data!F140)</f>
        <v>0</v>
      </c>
      <c r="DZ154" s="244">
        <f>$N65</f>
        <v>0</v>
      </c>
      <c r="EA154" s="244">
        <f>$O65</f>
        <v>0</v>
      </c>
      <c r="EB154" s="244">
        <f>$P65</f>
        <v>0</v>
      </c>
      <c r="EE154" s="298" t="s">
        <v>144</v>
      </c>
      <c r="EI154" s="168">
        <f>SUM(EI103*EP154)/100</f>
        <v>0</v>
      </c>
      <c r="EK154" s="168">
        <f>SUM(EI104*EQ154)/100</f>
        <v>0</v>
      </c>
      <c r="EM154" s="191">
        <f>SUM(EI105*ER154)/100</f>
        <v>0</v>
      </c>
      <c r="EN154" s="191"/>
      <c r="EO154" s="192">
        <f>SUM((EI103*EG116/EG125)+(EI104*EG122/EG125)+(EI105*EG124/EG125))*(Data!E140*Data!F140)</f>
        <v>0</v>
      </c>
      <c r="EP154" s="244">
        <f>$N65</f>
        <v>0</v>
      </c>
      <c r="EQ154" s="244">
        <f>$O65</f>
        <v>0</v>
      </c>
      <c r="ER154" s="244">
        <f>$P65</f>
        <v>0</v>
      </c>
      <c r="EU154" s="298" t="s">
        <v>144</v>
      </c>
      <c r="EY154" s="168">
        <f>SUM(EY103*FF154)/100</f>
        <v>0</v>
      </c>
      <c r="FA154" s="168">
        <f>SUM(EY104*FG154)/100</f>
        <v>0</v>
      </c>
      <c r="FC154" s="191">
        <f>SUM(EY105*FH154)/100</f>
        <v>0</v>
      </c>
      <c r="FD154" s="191"/>
      <c r="FE154" s="192">
        <f>SUM((EY103*EW116/EW125)+(EY104*EW122/EW125)+(EY105*EW124/EW125))*(Data!E140*Data!F140)</f>
        <v>0</v>
      </c>
      <c r="FF154" s="244">
        <f>$N65</f>
        <v>0</v>
      </c>
      <c r="FG154" s="244">
        <f>$O65</f>
        <v>0</v>
      </c>
      <c r="FH154" s="244">
        <f>$P65</f>
        <v>0</v>
      </c>
      <c r="HI154" s="162"/>
      <c r="HJ154" s="162"/>
      <c r="HK154" s="162"/>
      <c r="HL154" s="162"/>
      <c r="HM154" s="162"/>
      <c r="HN154" s="162"/>
      <c r="HO154" s="162"/>
      <c r="HP154" s="162"/>
      <c r="HQ154" s="162"/>
      <c r="HR154" s="162"/>
      <c r="HS154" s="162"/>
      <c r="HT154" s="162"/>
      <c r="HU154" s="162"/>
      <c r="HV154" s="162"/>
      <c r="HW154" s="162"/>
      <c r="HX154" s="162"/>
      <c r="HY154" s="162"/>
      <c r="HZ154" s="162"/>
      <c r="IA154" s="162"/>
      <c r="IB154" s="162"/>
      <c r="IC154" s="162"/>
      <c r="ID154" s="162"/>
      <c r="IE154" s="162"/>
      <c r="IF154" s="162"/>
      <c r="IG154" s="162"/>
      <c r="IH154" s="162"/>
      <c r="II154" s="162"/>
      <c r="IJ154" s="162"/>
      <c r="IK154" s="162"/>
      <c r="IL154" s="162"/>
      <c r="IM154" s="162"/>
      <c r="IN154" s="162"/>
      <c r="IO154" s="162"/>
      <c r="IP154" s="162"/>
      <c r="IQ154" s="162"/>
      <c r="IR154" s="162"/>
      <c r="IS154" s="162"/>
      <c r="IT154" s="162"/>
      <c r="IU154" s="162"/>
      <c r="IV154" s="162"/>
    </row>
    <row r="155" spans="1:256" s="168" customFormat="1" x14ac:dyDescent="0.2">
      <c r="A155" s="869"/>
      <c r="B155" s="923"/>
      <c r="C155" s="923"/>
      <c r="D155" s="923"/>
      <c r="E155" s="923"/>
      <c r="F155" s="923"/>
      <c r="G155" s="923"/>
      <c r="H155" s="923"/>
      <c r="I155" s="923"/>
      <c r="J155" s="923"/>
      <c r="K155" s="923"/>
      <c r="L155" s="923"/>
      <c r="M155" s="923"/>
      <c r="N155" s="923"/>
      <c r="O155" s="923"/>
      <c r="P155" s="923"/>
      <c r="Q155" s="912"/>
      <c r="R155" s="913"/>
      <c r="S155" s="167"/>
      <c r="W155" s="298" t="s">
        <v>146</v>
      </c>
      <c r="AE155" s="191"/>
      <c r="AF155" s="191"/>
      <c r="AG155" s="192">
        <f>$M66</f>
        <v>10</v>
      </c>
      <c r="AH155" s="244"/>
      <c r="AI155" s="244"/>
      <c r="AJ155" s="244"/>
      <c r="AM155" s="298" t="s">
        <v>146</v>
      </c>
      <c r="AU155" s="191"/>
      <c r="AV155" s="191"/>
      <c r="AW155" s="192">
        <f>$M66</f>
        <v>10</v>
      </c>
      <c r="AX155" s="244"/>
      <c r="AY155" s="244"/>
      <c r="AZ155" s="244"/>
      <c r="BC155" s="298" t="s">
        <v>146</v>
      </c>
      <c r="BK155" s="191"/>
      <c r="BL155" s="191"/>
      <c r="BM155" s="192">
        <f>$M66</f>
        <v>10</v>
      </c>
      <c r="BN155" s="244"/>
      <c r="BO155" s="244"/>
      <c r="BP155" s="244"/>
      <c r="BS155" s="298" t="s">
        <v>146</v>
      </c>
      <c r="CA155" s="191"/>
      <c r="CB155" s="191"/>
      <c r="CC155" s="192">
        <f>$M66</f>
        <v>10</v>
      </c>
      <c r="CD155" s="244"/>
      <c r="CE155" s="244"/>
      <c r="CF155" s="244"/>
      <c r="CI155" s="298" t="s">
        <v>146</v>
      </c>
      <c r="CQ155" s="191"/>
      <c r="CR155" s="191"/>
      <c r="CS155" s="192">
        <f>$M66</f>
        <v>10</v>
      </c>
      <c r="CT155" s="244"/>
      <c r="CU155" s="244"/>
      <c r="CV155" s="244"/>
      <c r="CY155" s="298" t="s">
        <v>146</v>
      </c>
      <c r="DG155" s="191"/>
      <c r="DH155" s="191"/>
      <c r="DI155" s="192">
        <f>$M66</f>
        <v>10</v>
      </c>
      <c r="DJ155" s="244"/>
      <c r="DK155" s="244"/>
      <c r="DL155" s="244"/>
      <c r="DO155" s="298" t="s">
        <v>146</v>
      </c>
      <c r="DW155" s="191"/>
      <c r="DX155" s="191"/>
      <c r="DY155" s="192">
        <f>$M66</f>
        <v>10</v>
      </c>
      <c r="DZ155" s="244"/>
      <c r="EA155" s="244"/>
      <c r="EB155" s="244"/>
      <c r="EE155" s="298" t="s">
        <v>146</v>
      </c>
      <c r="EM155" s="191"/>
      <c r="EN155" s="191"/>
      <c r="EO155" s="192">
        <f>$M66</f>
        <v>10</v>
      </c>
      <c r="EP155" s="244"/>
      <c r="EQ155" s="244"/>
      <c r="ER155" s="244"/>
      <c r="EU155" s="298" t="s">
        <v>146</v>
      </c>
      <c r="FC155" s="191"/>
      <c r="FD155" s="191"/>
      <c r="FE155" s="192">
        <f>$M66</f>
        <v>10</v>
      </c>
      <c r="FF155" s="244"/>
      <c r="FG155" s="244"/>
      <c r="FH155" s="244"/>
      <c r="HI155" s="162"/>
      <c r="HJ155" s="162"/>
      <c r="HK155" s="162"/>
      <c r="HL155" s="162"/>
      <c r="HM155" s="162"/>
      <c r="HN155" s="162"/>
      <c r="HO155" s="162"/>
      <c r="HP155" s="162"/>
      <c r="HQ155" s="162"/>
      <c r="HR155" s="162"/>
      <c r="HS155" s="162"/>
      <c r="HT155" s="162"/>
      <c r="HU155" s="162"/>
      <c r="HV155" s="162"/>
      <c r="HW155" s="162"/>
      <c r="HX155" s="162"/>
      <c r="HY155" s="162"/>
      <c r="HZ155" s="162"/>
      <c r="IA155" s="162"/>
      <c r="IB155" s="162"/>
      <c r="IC155" s="162"/>
      <c r="ID155" s="162"/>
      <c r="IE155" s="162"/>
      <c r="IF155" s="162"/>
      <c r="IG155" s="162"/>
      <c r="IH155" s="162"/>
      <c r="II155" s="162"/>
      <c r="IJ155" s="162"/>
      <c r="IK155" s="162"/>
      <c r="IL155" s="162"/>
      <c r="IM155" s="162"/>
      <c r="IN155" s="162"/>
      <c r="IO155" s="162"/>
      <c r="IP155" s="162"/>
      <c r="IQ155" s="162"/>
      <c r="IR155" s="162"/>
      <c r="IS155" s="162"/>
      <c r="IT155" s="162"/>
      <c r="IU155" s="162"/>
      <c r="IV155" s="162"/>
    </row>
    <row r="156" spans="1:256" s="168" customFormat="1" x14ac:dyDescent="0.2">
      <c r="A156" s="869"/>
      <c r="B156" s="923"/>
      <c r="C156" s="923"/>
      <c r="D156" s="923"/>
      <c r="E156" s="923"/>
      <c r="F156" s="923"/>
      <c r="G156" s="923"/>
      <c r="H156" s="923"/>
      <c r="I156" s="923"/>
      <c r="J156" s="923"/>
      <c r="K156" s="923"/>
      <c r="L156" s="923"/>
      <c r="M156" s="923"/>
      <c r="N156" s="923"/>
      <c r="O156" s="923"/>
      <c r="P156" s="923"/>
      <c r="Q156" s="912"/>
      <c r="R156" s="913"/>
      <c r="S156" s="167"/>
      <c r="W156" s="298" t="s">
        <v>147</v>
      </c>
      <c r="AE156" s="191"/>
      <c r="AF156" s="191"/>
      <c r="AG156" s="192">
        <f>$M67</f>
        <v>15</v>
      </c>
      <c r="AH156" s="244"/>
      <c r="AI156" s="244"/>
      <c r="AJ156" s="244"/>
      <c r="AM156" s="298" t="s">
        <v>147</v>
      </c>
      <c r="AU156" s="191"/>
      <c r="AV156" s="191"/>
      <c r="AW156" s="192">
        <f>$M67</f>
        <v>15</v>
      </c>
      <c r="AX156" s="244"/>
      <c r="AY156" s="244"/>
      <c r="AZ156" s="244"/>
      <c r="BC156" s="298" t="s">
        <v>147</v>
      </c>
      <c r="BK156" s="191"/>
      <c r="BL156" s="191"/>
      <c r="BM156" s="192">
        <f>$M67</f>
        <v>15</v>
      </c>
      <c r="BN156" s="244"/>
      <c r="BO156" s="244"/>
      <c r="BP156" s="244"/>
      <c r="BS156" s="298" t="s">
        <v>147</v>
      </c>
      <c r="CA156" s="191"/>
      <c r="CB156" s="191"/>
      <c r="CC156" s="192">
        <f>$M67</f>
        <v>15</v>
      </c>
      <c r="CD156" s="244"/>
      <c r="CE156" s="244"/>
      <c r="CF156" s="244"/>
      <c r="CI156" s="298" t="s">
        <v>147</v>
      </c>
      <c r="CQ156" s="191"/>
      <c r="CR156" s="191"/>
      <c r="CS156" s="192">
        <f>$M67</f>
        <v>15</v>
      </c>
      <c r="CT156" s="244"/>
      <c r="CU156" s="244"/>
      <c r="CV156" s="244"/>
      <c r="CY156" s="298" t="s">
        <v>147</v>
      </c>
      <c r="DG156" s="191"/>
      <c r="DH156" s="191"/>
      <c r="DI156" s="192">
        <f>$M67</f>
        <v>15</v>
      </c>
      <c r="DJ156" s="244"/>
      <c r="DK156" s="244"/>
      <c r="DL156" s="244"/>
      <c r="DO156" s="298" t="s">
        <v>147</v>
      </c>
      <c r="DW156" s="191"/>
      <c r="DX156" s="191"/>
      <c r="DY156" s="192">
        <f>$M67</f>
        <v>15</v>
      </c>
      <c r="DZ156" s="244"/>
      <c r="EA156" s="244"/>
      <c r="EB156" s="244"/>
      <c r="EE156" s="298" t="s">
        <v>147</v>
      </c>
      <c r="EM156" s="191"/>
      <c r="EN156" s="191"/>
      <c r="EO156" s="192">
        <f>$M67</f>
        <v>15</v>
      </c>
      <c r="EP156" s="244"/>
      <c r="EQ156" s="244"/>
      <c r="ER156" s="244"/>
      <c r="EU156" s="298" t="s">
        <v>147</v>
      </c>
      <c r="FC156" s="191"/>
      <c r="FD156" s="191"/>
      <c r="FE156" s="192">
        <f>$M67</f>
        <v>15</v>
      </c>
      <c r="FF156" s="244"/>
      <c r="FG156" s="244"/>
      <c r="FH156" s="244"/>
      <c r="HI156" s="162"/>
      <c r="HJ156" s="162"/>
      <c r="HK156" s="162"/>
      <c r="HL156" s="162"/>
      <c r="HM156" s="162"/>
      <c r="HN156" s="162"/>
      <c r="HO156" s="162"/>
      <c r="HP156" s="162"/>
      <c r="HQ156" s="162"/>
      <c r="HR156" s="162"/>
      <c r="HS156" s="162"/>
      <c r="HT156" s="162"/>
      <c r="HU156" s="162"/>
      <c r="HV156" s="162"/>
      <c r="HW156" s="162"/>
      <c r="HX156" s="162"/>
      <c r="HY156" s="162"/>
      <c r="HZ156" s="162"/>
      <c r="IA156" s="162"/>
      <c r="IB156" s="162"/>
      <c r="IC156" s="162"/>
      <c r="ID156" s="162"/>
      <c r="IE156" s="162"/>
      <c r="IF156" s="162"/>
      <c r="IG156" s="162"/>
      <c r="IH156" s="162"/>
      <c r="II156" s="162"/>
      <c r="IJ156" s="162"/>
      <c r="IK156" s="162"/>
      <c r="IL156" s="162"/>
      <c r="IM156" s="162"/>
      <c r="IN156" s="162"/>
      <c r="IO156" s="162"/>
      <c r="IP156" s="162"/>
      <c r="IQ156" s="162"/>
      <c r="IR156" s="162"/>
      <c r="IS156" s="162"/>
      <c r="IT156" s="162"/>
      <c r="IU156" s="162"/>
      <c r="IV156" s="162"/>
    </row>
    <row r="157" spans="1:256" s="168" customFormat="1" x14ac:dyDescent="0.2">
      <c r="A157" s="869"/>
      <c r="B157" s="923"/>
      <c r="C157" s="923"/>
      <c r="D157" s="923"/>
      <c r="E157" s="923"/>
      <c r="F157" s="923"/>
      <c r="G157" s="923"/>
      <c r="H157" s="923"/>
      <c r="I157" s="923"/>
      <c r="J157" s="923"/>
      <c r="K157" s="923"/>
      <c r="L157" s="923"/>
      <c r="M157" s="923"/>
      <c r="N157" s="923"/>
      <c r="O157" s="923"/>
      <c r="P157" s="923"/>
      <c r="Q157" s="912"/>
      <c r="R157" s="913"/>
      <c r="S157" s="167"/>
      <c r="W157" s="298" t="s">
        <v>428</v>
      </c>
      <c r="AE157" s="191"/>
      <c r="AF157" s="191"/>
      <c r="AG157" s="192">
        <f>$M68</f>
        <v>45</v>
      </c>
      <c r="AH157" s="244"/>
      <c r="AI157" s="244"/>
      <c r="AJ157" s="244"/>
      <c r="AM157" s="298" t="s">
        <v>428</v>
      </c>
      <c r="AU157" s="191"/>
      <c r="AV157" s="191"/>
      <c r="AW157" s="192">
        <f>$M68</f>
        <v>45</v>
      </c>
      <c r="AX157" s="244"/>
      <c r="AY157" s="244"/>
      <c r="AZ157" s="244"/>
      <c r="BC157" s="298" t="s">
        <v>428</v>
      </c>
      <c r="BK157" s="191"/>
      <c r="BL157" s="191"/>
      <c r="BM157" s="192">
        <f>$M68</f>
        <v>45</v>
      </c>
      <c r="BN157" s="244"/>
      <c r="BO157" s="244"/>
      <c r="BP157" s="244"/>
      <c r="BS157" s="298" t="s">
        <v>428</v>
      </c>
      <c r="CA157" s="191"/>
      <c r="CB157" s="191"/>
      <c r="CC157" s="192">
        <f>$M68</f>
        <v>45</v>
      </c>
      <c r="CD157" s="244"/>
      <c r="CE157" s="244"/>
      <c r="CF157" s="244"/>
      <c r="CI157" s="298" t="s">
        <v>428</v>
      </c>
      <c r="CQ157" s="191"/>
      <c r="CR157" s="191"/>
      <c r="CS157" s="192">
        <f>$M68</f>
        <v>45</v>
      </c>
      <c r="CT157" s="244"/>
      <c r="CU157" s="244"/>
      <c r="CV157" s="244"/>
      <c r="CY157" s="298" t="s">
        <v>428</v>
      </c>
      <c r="DG157" s="191"/>
      <c r="DH157" s="191"/>
      <c r="DI157" s="192">
        <f>$M68</f>
        <v>45</v>
      </c>
      <c r="DJ157" s="244"/>
      <c r="DK157" s="244"/>
      <c r="DL157" s="244"/>
      <c r="DO157" s="298" t="s">
        <v>428</v>
      </c>
      <c r="DW157" s="191"/>
      <c r="DX157" s="191"/>
      <c r="DY157" s="192">
        <f>$M68</f>
        <v>45</v>
      </c>
      <c r="DZ157" s="244"/>
      <c r="EA157" s="244"/>
      <c r="EB157" s="244"/>
      <c r="EE157" s="298" t="s">
        <v>428</v>
      </c>
      <c r="EM157" s="191"/>
      <c r="EN157" s="191"/>
      <c r="EO157" s="192">
        <f>$M68</f>
        <v>45</v>
      </c>
      <c r="EP157" s="244"/>
      <c r="EQ157" s="244"/>
      <c r="ER157" s="244"/>
      <c r="EU157" s="298" t="s">
        <v>428</v>
      </c>
      <c r="FC157" s="191"/>
      <c r="FD157" s="191"/>
      <c r="FE157" s="192">
        <f>$M68</f>
        <v>45</v>
      </c>
      <c r="FF157" s="244"/>
      <c r="FG157" s="244"/>
      <c r="FH157" s="244"/>
      <c r="HI157" s="162"/>
      <c r="HJ157" s="162"/>
      <c r="HK157" s="162"/>
      <c r="HL157" s="162"/>
      <c r="HM157" s="162"/>
      <c r="HN157" s="162"/>
      <c r="HO157" s="162"/>
      <c r="HP157" s="162"/>
      <c r="HQ157" s="162"/>
      <c r="HR157" s="162"/>
      <c r="HS157" s="162"/>
      <c r="HT157" s="162"/>
      <c r="HU157" s="162"/>
      <c r="HV157" s="162"/>
      <c r="HW157" s="162"/>
      <c r="HX157" s="162"/>
      <c r="HY157" s="162"/>
      <c r="HZ157" s="162"/>
      <c r="IA157" s="162"/>
      <c r="IB157" s="162"/>
      <c r="IC157" s="162"/>
      <c r="ID157" s="162"/>
      <c r="IE157" s="162"/>
      <c r="IF157" s="162"/>
      <c r="IG157" s="162"/>
      <c r="IH157" s="162"/>
      <c r="II157" s="162"/>
      <c r="IJ157" s="162"/>
      <c r="IK157" s="162"/>
      <c r="IL157" s="162"/>
      <c r="IM157" s="162"/>
      <c r="IN157" s="162"/>
      <c r="IO157" s="162"/>
      <c r="IP157" s="162"/>
      <c r="IQ157" s="162"/>
      <c r="IR157" s="162"/>
      <c r="IS157" s="162"/>
      <c r="IT157" s="162"/>
      <c r="IU157" s="162"/>
      <c r="IV157" s="162"/>
    </row>
    <row r="158" spans="1:256" s="168" customFormat="1" x14ac:dyDescent="0.2">
      <c r="A158" s="869"/>
      <c r="B158" s="923"/>
      <c r="C158" s="923"/>
      <c r="D158" s="923"/>
      <c r="E158" s="923"/>
      <c r="F158" s="923"/>
      <c r="G158" s="923"/>
      <c r="H158" s="923"/>
      <c r="I158" s="923"/>
      <c r="J158" s="923"/>
      <c r="K158" s="923"/>
      <c r="L158" s="923"/>
      <c r="M158" s="923"/>
      <c r="N158" s="923"/>
      <c r="O158" s="923"/>
      <c r="P158" s="923"/>
      <c r="Q158" s="912"/>
      <c r="R158" s="913"/>
      <c r="S158" s="167"/>
      <c r="W158" s="298" t="s">
        <v>428</v>
      </c>
      <c r="AE158" s="191"/>
      <c r="AF158" s="191"/>
      <c r="AG158" s="192">
        <f>$M69</f>
        <v>0</v>
      </c>
      <c r="AH158" s="244"/>
      <c r="AI158" s="244"/>
      <c r="AJ158" s="244"/>
      <c r="AM158" s="298" t="s">
        <v>428</v>
      </c>
      <c r="AU158" s="191"/>
      <c r="AV158" s="191"/>
      <c r="AW158" s="192">
        <f>$M69</f>
        <v>0</v>
      </c>
      <c r="AX158" s="244"/>
      <c r="AY158" s="244"/>
      <c r="AZ158" s="244"/>
      <c r="BC158" s="298" t="s">
        <v>428</v>
      </c>
      <c r="BK158" s="191"/>
      <c r="BL158" s="191"/>
      <c r="BM158" s="192">
        <f>$M69</f>
        <v>0</v>
      </c>
      <c r="BN158" s="244"/>
      <c r="BO158" s="244"/>
      <c r="BP158" s="244"/>
      <c r="BS158" s="298" t="s">
        <v>428</v>
      </c>
      <c r="CA158" s="191"/>
      <c r="CB158" s="191"/>
      <c r="CC158" s="192">
        <f>$M69</f>
        <v>0</v>
      </c>
      <c r="CD158" s="244"/>
      <c r="CE158" s="244"/>
      <c r="CF158" s="244"/>
      <c r="CI158" s="298" t="s">
        <v>428</v>
      </c>
      <c r="CQ158" s="191"/>
      <c r="CR158" s="191"/>
      <c r="CS158" s="192">
        <f>$M69</f>
        <v>0</v>
      </c>
      <c r="CT158" s="244"/>
      <c r="CU158" s="244"/>
      <c r="CV158" s="244"/>
      <c r="CY158" s="298" t="s">
        <v>428</v>
      </c>
      <c r="DG158" s="191"/>
      <c r="DH158" s="191"/>
      <c r="DI158" s="192">
        <f>$M69</f>
        <v>0</v>
      </c>
      <c r="DJ158" s="244"/>
      <c r="DK158" s="244"/>
      <c r="DL158" s="244"/>
      <c r="DO158" s="298" t="s">
        <v>428</v>
      </c>
      <c r="DW158" s="191"/>
      <c r="DX158" s="191"/>
      <c r="DY158" s="192">
        <f>$M69</f>
        <v>0</v>
      </c>
      <c r="DZ158" s="244"/>
      <c r="EA158" s="244"/>
      <c r="EB158" s="244"/>
      <c r="EE158" s="298" t="s">
        <v>428</v>
      </c>
      <c r="EM158" s="191"/>
      <c r="EN158" s="191"/>
      <c r="EO158" s="192">
        <f>$M69</f>
        <v>0</v>
      </c>
      <c r="EP158" s="244"/>
      <c r="EQ158" s="244"/>
      <c r="ER158" s="244"/>
      <c r="EU158" s="298" t="s">
        <v>428</v>
      </c>
      <c r="FC158" s="191"/>
      <c r="FD158" s="191"/>
      <c r="FE158" s="192">
        <f>$M69</f>
        <v>0</v>
      </c>
      <c r="FF158" s="244"/>
      <c r="FG158" s="244"/>
      <c r="FH158" s="244"/>
      <c r="HI158" s="162"/>
      <c r="HJ158" s="162"/>
      <c r="HK158" s="162"/>
      <c r="HL158" s="162"/>
      <c r="HM158" s="162"/>
      <c r="HN158" s="162"/>
      <c r="HO158" s="162"/>
      <c r="HP158" s="162"/>
      <c r="HQ158" s="162"/>
      <c r="HR158" s="162"/>
      <c r="HS158" s="162"/>
      <c r="HT158" s="162"/>
      <c r="HU158" s="162"/>
      <c r="HV158" s="162"/>
      <c r="HW158" s="162"/>
      <c r="HX158" s="162"/>
      <c r="HY158" s="162"/>
      <c r="HZ158" s="162"/>
      <c r="IA158" s="162"/>
      <c r="IB158" s="162"/>
      <c r="IC158" s="162"/>
      <c r="ID158" s="162"/>
      <c r="IE158" s="162"/>
      <c r="IF158" s="162"/>
      <c r="IG158" s="162"/>
      <c r="IH158" s="162"/>
      <c r="II158" s="162"/>
      <c r="IJ158" s="162"/>
      <c r="IK158" s="162"/>
      <c r="IL158" s="162"/>
      <c r="IM158" s="162"/>
      <c r="IN158" s="162"/>
      <c r="IO158" s="162"/>
      <c r="IP158" s="162"/>
      <c r="IQ158" s="162"/>
      <c r="IR158" s="162"/>
      <c r="IS158" s="162"/>
      <c r="IT158" s="162"/>
      <c r="IU158" s="162"/>
      <c r="IV158" s="162"/>
    </row>
    <row r="159" spans="1:256" s="168" customFormat="1" ht="12.75" x14ac:dyDescent="0.2">
      <c r="A159" s="869"/>
      <c r="B159" s="923"/>
      <c r="C159" s="923"/>
      <c r="D159" s="923"/>
      <c r="E159" s="923"/>
      <c r="F159" s="923"/>
      <c r="G159" s="923"/>
      <c r="H159" s="923"/>
      <c r="I159" s="923"/>
      <c r="J159" s="923"/>
      <c r="K159" s="923"/>
      <c r="L159" s="923"/>
      <c r="M159" s="923"/>
      <c r="N159" s="923"/>
      <c r="O159" s="923"/>
      <c r="P159" s="923"/>
      <c r="Q159" s="912"/>
      <c r="R159" s="913"/>
      <c r="S159" s="167"/>
      <c r="W159" s="298" t="s">
        <v>151</v>
      </c>
      <c r="AA159" s="168">
        <f>SUM(Data!HE14+Data!HE19)</f>
        <v>0</v>
      </c>
      <c r="AC159" s="301">
        <f>Data!HE147*Data!HF147</f>
        <v>0</v>
      </c>
      <c r="AE159" s="191"/>
      <c r="AF159" s="191"/>
      <c r="AG159" s="192">
        <f>$M70</f>
        <v>9.375</v>
      </c>
      <c r="AH159" s="267"/>
      <c r="AI159" s="267"/>
      <c r="AJ159" s="267"/>
      <c r="AM159" s="298" t="s">
        <v>151</v>
      </c>
      <c r="AQ159" s="168">
        <f>SUM(Data!HU14+Data!HU19)</f>
        <v>0</v>
      </c>
      <c r="AS159" s="301">
        <f>Data!HU147*Data!HV147</f>
        <v>0</v>
      </c>
      <c r="AU159" s="191"/>
      <c r="AV159" s="191"/>
      <c r="AW159" s="192">
        <f>$M70</f>
        <v>9.375</v>
      </c>
      <c r="AX159" s="267"/>
      <c r="AY159" s="267"/>
      <c r="AZ159" s="267"/>
      <c r="BC159" s="298" t="s">
        <v>151</v>
      </c>
      <c r="BG159" s="168">
        <f>SUM(Data!IK14+Data!IK19)</f>
        <v>0</v>
      </c>
      <c r="BI159" s="301">
        <f>Data!IK147*Data!IL147</f>
        <v>0</v>
      </c>
      <c r="BK159" s="191"/>
      <c r="BL159" s="191"/>
      <c r="BM159" s="192">
        <f>$M70</f>
        <v>9.375</v>
      </c>
      <c r="BN159" s="267"/>
      <c r="BO159" s="267"/>
      <c r="BP159" s="267"/>
      <c r="BS159" s="298" t="s">
        <v>151</v>
      </c>
      <c r="BW159" s="168" t="e">
        <f>SUM(Data!#REF!+Data!#REF!)</f>
        <v>#REF!</v>
      </c>
      <c r="BY159" s="301" t="e">
        <f>Data!#REF!*Data!#REF!</f>
        <v>#REF!</v>
      </c>
      <c r="CA159" s="191"/>
      <c r="CB159" s="191"/>
      <c r="CC159" s="192">
        <f>$M70</f>
        <v>9.375</v>
      </c>
      <c r="CD159" s="267"/>
      <c r="CE159" s="267"/>
      <c r="CF159" s="267"/>
      <c r="CI159" s="298" t="s">
        <v>151</v>
      </c>
      <c r="CM159" s="168" t="e">
        <f>SUM(Data!#REF!+Data!#REF!)</f>
        <v>#REF!</v>
      </c>
      <c r="CO159" s="301" t="e">
        <f>Data!#REF!*Data!#REF!</f>
        <v>#REF!</v>
      </c>
      <c r="CQ159" s="191"/>
      <c r="CR159" s="191"/>
      <c r="CS159" s="192">
        <f>$M70</f>
        <v>9.375</v>
      </c>
      <c r="CT159" s="267"/>
      <c r="CU159" s="267"/>
      <c r="CV159" s="267"/>
      <c r="CY159" s="298" t="s">
        <v>151</v>
      </c>
      <c r="DC159" s="168" t="e">
        <f>SUM(Data!#REF!+Data!#REF!)</f>
        <v>#REF!</v>
      </c>
      <c r="DE159" s="301" t="e">
        <f>Data!#REF!*Data!#REF!</f>
        <v>#REF!</v>
      </c>
      <c r="DG159" s="191"/>
      <c r="DH159" s="191"/>
      <c r="DI159" s="192">
        <f>$M70</f>
        <v>9.375</v>
      </c>
      <c r="DJ159" s="267"/>
      <c r="DK159" s="267"/>
      <c r="DL159" s="267"/>
      <c r="DO159" s="298" t="s">
        <v>151</v>
      </c>
      <c r="DS159" s="168" t="e">
        <f>SUM(Data!#REF!+Data!#REF!)</f>
        <v>#REF!</v>
      </c>
      <c r="DU159" s="301" t="e">
        <f>Data!#REF!*Data!#REF!</f>
        <v>#REF!</v>
      </c>
      <c r="DW159" s="191"/>
      <c r="DX159" s="191"/>
      <c r="DY159" s="192">
        <f>$M70</f>
        <v>9.375</v>
      </c>
      <c r="DZ159" s="267"/>
      <c r="EA159" s="267"/>
      <c r="EB159" s="267"/>
      <c r="EE159" s="298" t="s">
        <v>151</v>
      </c>
      <c r="EI159" s="168" t="e">
        <f>SUM(Data!#REF!+Data!#REF!)</f>
        <v>#REF!</v>
      </c>
      <c r="EK159" s="301" t="e">
        <f>Data!#REF!*Data!#REF!</f>
        <v>#REF!</v>
      </c>
      <c r="EM159" s="191"/>
      <c r="EN159" s="191"/>
      <c r="EO159" s="192">
        <f>$M70</f>
        <v>9.375</v>
      </c>
      <c r="EP159" s="267"/>
      <c r="EQ159" s="267"/>
      <c r="ER159" s="267"/>
      <c r="EU159" s="298" t="s">
        <v>151</v>
      </c>
      <c r="EY159" s="168" t="e">
        <f>SUM(Data!#REF!+Data!#REF!)</f>
        <v>#REF!</v>
      </c>
      <c r="FA159" s="301" t="e">
        <f>Data!#REF!*Data!#REF!</f>
        <v>#REF!</v>
      </c>
      <c r="FC159" s="191"/>
      <c r="FD159" s="191"/>
      <c r="FE159" s="192">
        <f>$M70</f>
        <v>9.375</v>
      </c>
      <c r="FF159" s="267"/>
      <c r="FG159" s="267"/>
      <c r="FH159" s="267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  <c r="IR159" s="162"/>
      <c r="IS159" s="162"/>
      <c r="IT159" s="162"/>
      <c r="IU159" s="162"/>
      <c r="IV159" s="162"/>
    </row>
    <row r="160" spans="1:256" s="272" customFormat="1" x14ac:dyDescent="0.2">
      <c r="A160" s="869"/>
      <c r="B160" s="923"/>
      <c r="C160" s="923"/>
      <c r="D160" s="923"/>
      <c r="E160" s="923"/>
      <c r="F160" s="923"/>
      <c r="G160" s="923"/>
      <c r="H160" s="923"/>
      <c r="I160" s="923"/>
      <c r="J160" s="923"/>
      <c r="K160" s="923"/>
      <c r="L160" s="923"/>
      <c r="M160" s="923"/>
      <c r="N160" s="923"/>
      <c r="O160" s="923"/>
      <c r="P160" s="923"/>
      <c r="Q160" s="912"/>
      <c r="R160" s="913"/>
      <c r="S160" s="167"/>
      <c r="T160" s="168"/>
      <c r="U160" s="168"/>
      <c r="V160" s="168"/>
      <c r="W160" s="271" t="s">
        <v>430</v>
      </c>
      <c r="AE160" s="274"/>
      <c r="AF160" s="274"/>
      <c r="AG160" s="280"/>
      <c r="AH160" s="281">
        <f>IF(AC103=0,0,(AG155+AG156+AG157+AG159)/AC103*100)</f>
        <v>15.875</v>
      </c>
      <c r="AI160" s="281">
        <f>IF(AC104=0,0,(AG155+AG156+AG157+AG159)/AC104*100)</f>
        <v>15.875</v>
      </c>
      <c r="AJ160" s="281">
        <f>IF(AC105=0,0,(AG155+AG156+AG158)/AC105*100)</f>
        <v>5</v>
      </c>
      <c r="AK160" s="168"/>
      <c r="AL160" s="168"/>
      <c r="AM160" s="271" t="s">
        <v>430</v>
      </c>
      <c r="AU160" s="274"/>
      <c r="AV160" s="274"/>
      <c r="AW160" s="280"/>
      <c r="AX160" s="281">
        <f>IF(AS103=0,0,(AW155+AW156+AW157+AW159)/AS103*100)</f>
        <v>15.119047619047619</v>
      </c>
      <c r="AY160" s="281">
        <f>IF(AS104=0,0,(AW155+AW156+AW157+AW159)/AS104*100)</f>
        <v>15.119047619047619</v>
      </c>
      <c r="AZ160" s="281">
        <f>IF(AS105=0,0,(AW155+AW156+AW158)/AS105*100)</f>
        <v>4.7619047619047619</v>
      </c>
      <c r="BA160" s="168"/>
      <c r="BB160" s="168"/>
      <c r="BC160" s="271" t="s">
        <v>430</v>
      </c>
      <c r="BK160" s="274"/>
      <c r="BL160" s="274"/>
      <c r="BM160" s="280"/>
      <c r="BN160" s="281">
        <f>IF(BI103=0,0,(BM155+BM156+BM157+BM159)/BI103*100)</f>
        <v>14.431818181818182</v>
      </c>
      <c r="BO160" s="281">
        <f>IF(BI104=0,0,(BM155+BM156+BM157+BM159)/BI104*100)</f>
        <v>14.431818181818182</v>
      </c>
      <c r="BP160" s="281">
        <f>IF(BI105=0,0,(BM155+BM156+BM158)/BI105*100)</f>
        <v>4.5454545454545459</v>
      </c>
      <c r="BQ160" s="168"/>
      <c r="BR160" s="168"/>
      <c r="BS160" s="271" t="s">
        <v>430</v>
      </c>
      <c r="CA160" s="274"/>
      <c r="CB160" s="274"/>
      <c r="CC160" s="280"/>
      <c r="CD160" s="281">
        <f>IF(BY103=0,0,(CC155+CC156+CC157+CC159)/BY103*100)</f>
        <v>13.804347826086957</v>
      </c>
      <c r="CE160" s="281">
        <f>IF(BY104=0,0,(CC155+CC156+CC157+CC159)/BY104*100)</f>
        <v>13.804347826086957</v>
      </c>
      <c r="CF160" s="281">
        <f>IF(BY105=0,0,(CC155+CC156+CC158)/BY105*100)</f>
        <v>4.3478260869565215</v>
      </c>
      <c r="CG160" s="168"/>
      <c r="CH160" s="168"/>
      <c r="CI160" s="271" t="s">
        <v>430</v>
      </c>
      <c r="CQ160" s="274"/>
      <c r="CR160" s="274"/>
      <c r="CS160" s="280"/>
      <c r="CT160" s="281">
        <f>IF(CO103=0,0,(CS155+CS156+CS157+CS159)/CO103*100)</f>
        <v>13.229166666666666</v>
      </c>
      <c r="CU160" s="281">
        <f>IF(CO104=0,0,(CS155+CS156+CS157+CS159)/CO104*100)</f>
        <v>13.229166666666666</v>
      </c>
      <c r="CV160" s="281">
        <f>IF(CO105=0,0,(CS155+CS156+CS158)/CO105*100)</f>
        <v>4.1666666666666661</v>
      </c>
      <c r="CW160" s="168"/>
      <c r="CX160" s="168"/>
      <c r="CY160" s="271" t="s">
        <v>430</v>
      </c>
      <c r="DG160" s="274"/>
      <c r="DH160" s="274"/>
      <c r="DI160" s="280"/>
      <c r="DJ160" s="281">
        <f>IF(DE103=0,0,(DI155+DI156+DI157+DI159)/DE103*100)</f>
        <v>12.7</v>
      </c>
      <c r="DK160" s="281">
        <f>IF(DE104=0,0,(DI155+DI156+DI157+DI159)/DE104*100)</f>
        <v>12.7</v>
      </c>
      <c r="DL160" s="281">
        <f>IF(DE105=0,0,(DI155+DI156+DI158)/DE105*100)</f>
        <v>4</v>
      </c>
      <c r="DM160" s="168"/>
      <c r="DN160" s="168"/>
      <c r="DO160" s="271" t="s">
        <v>430</v>
      </c>
      <c r="DW160" s="274"/>
      <c r="DX160" s="274"/>
      <c r="DY160" s="280"/>
      <c r="DZ160" s="281">
        <f>IF(DU103=0,0,(DY155+DY156+DY157+DY159)/DU103*100)</f>
        <v>12.211538461538462</v>
      </c>
      <c r="EA160" s="281">
        <f>IF(DU104=0,0,(DY155+DY156+DY157+DY159)/DU104*100)</f>
        <v>12.211538461538462</v>
      </c>
      <c r="EB160" s="281">
        <f>IF(DU105=0,0,(DY155+DY156+DY158)/DU105*100)</f>
        <v>3.8461538461538463</v>
      </c>
      <c r="EC160" s="168"/>
      <c r="ED160" s="168"/>
      <c r="EE160" s="271" t="s">
        <v>430</v>
      </c>
      <c r="EM160" s="274"/>
      <c r="EN160" s="274"/>
      <c r="EO160" s="280"/>
      <c r="EP160" s="281">
        <f>IF(EK103=0,0,(EO155+EO156+EO157+EO159)/EK103*100)</f>
        <v>11.75925925925926</v>
      </c>
      <c r="EQ160" s="281">
        <f>IF(EK104=0,0,(EO155+EO156+EO157+EO159)/EK104*100)</f>
        <v>11.75925925925926</v>
      </c>
      <c r="ER160" s="281">
        <f>IF(EK105=0,0,(EO155+EO156+EO158)/EK105*100)</f>
        <v>3.7037037037037033</v>
      </c>
      <c r="ES160" s="168"/>
      <c r="ET160" s="168"/>
      <c r="EU160" s="271" t="s">
        <v>430</v>
      </c>
      <c r="FC160" s="274"/>
      <c r="FD160" s="274"/>
      <c r="FE160" s="280"/>
      <c r="FF160" s="281">
        <f>IF(FA103=0,0,(FE155+FE156+FE157+FE159)/FA103*100)</f>
        <v>11.339285714285714</v>
      </c>
      <c r="FG160" s="281">
        <f>IF(FA104=0,0,(FE155+FE156+FE157+FE159)/FA104*100)</f>
        <v>11.339285714285714</v>
      </c>
      <c r="FH160" s="281">
        <f>IF(FA105=0,0,(FE155+FE156+FE158)/FA105*100)</f>
        <v>3.5714285714285712</v>
      </c>
      <c r="FI160" s="168"/>
      <c r="FJ160" s="168"/>
      <c r="FK160" s="168"/>
      <c r="FL160" s="168"/>
      <c r="FM160" s="168"/>
      <c r="FN160" s="168"/>
      <c r="FO160" s="168"/>
      <c r="FP160" s="168"/>
      <c r="FQ160" s="168"/>
      <c r="FR160" s="168"/>
      <c r="FS160" s="168"/>
      <c r="FT160" s="168"/>
      <c r="FU160" s="168"/>
      <c r="FV160" s="168"/>
      <c r="FW160" s="168"/>
      <c r="FX160" s="168"/>
      <c r="FY160" s="168"/>
      <c r="FZ160" s="168"/>
      <c r="GA160" s="168"/>
      <c r="GB160" s="168"/>
      <c r="GC160" s="168"/>
      <c r="GD160" s="168"/>
      <c r="GE160" s="168"/>
      <c r="GF160" s="168"/>
      <c r="GG160" s="168"/>
      <c r="GH160" s="168"/>
      <c r="GI160" s="168"/>
      <c r="GJ160" s="168"/>
      <c r="GK160" s="168"/>
      <c r="GL160" s="168"/>
      <c r="GM160" s="168"/>
      <c r="GN160" s="168"/>
      <c r="GO160" s="168"/>
      <c r="GP160" s="168"/>
      <c r="GQ160" s="168"/>
      <c r="GR160" s="168"/>
      <c r="GS160" s="168"/>
      <c r="GT160" s="168"/>
      <c r="GU160" s="168"/>
      <c r="GV160" s="168"/>
      <c r="GW160" s="168"/>
      <c r="GX160" s="168"/>
      <c r="GY160" s="168"/>
      <c r="GZ160" s="168"/>
      <c r="HA160" s="168"/>
      <c r="HB160" s="168"/>
      <c r="HC160" s="168"/>
      <c r="HD160" s="168"/>
      <c r="HE160" s="168"/>
      <c r="HF160" s="168"/>
      <c r="HG160" s="168"/>
      <c r="HH160" s="168"/>
      <c r="HI160" s="162"/>
      <c r="HJ160" s="162"/>
      <c r="HK160" s="162"/>
      <c r="HL160" s="162"/>
      <c r="HM160" s="162"/>
      <c r="HN160" s="162"/>
      <c r="HO160" s="162"/>
      <c r="HP160" s="162"/>
      <c r="HQ160" s="162"/>
      <c r="HR160" s="162"/>
      <c r="HS160" s="162"/>
      <c r="HT160" s="162"/>
      <c r="HU160" s="162"/>
      <c r="HV160" s="162"/>
      <c r="HW160" s="162"/>
      <c r="HX160" s="162"/>
      <c r="HY160" s="162"/>
      <c r="HZ160" s="162"/>
      <c r="IA160" s="162"/>
      <c r="IB160" s="162"/>
      <c r="IC160" s="162"/>
      <c r="ID160" s="162"/>
      <c r="IE160" s="162"/>
      <c r="IF160" s="162"/>
      <c r="IG160" s="162"/>
      <c r="IH160" s="162"/>
      <c r="II160" s="162"/>
      <c r="IJ160" s="162"/>
      <c r="IK160" s="162"/>
      <c r="IL160" s="162"/>
      <c r="IM160" s="162"/>
      <c r="IN160" s="162"/>
      <c r="IO160" s="162"/>
      <c r="IP160" s="162"/>
      <c r="IQ160" s="162"/>
      <c r="IR160" s="162"/>
      <c r="IS160" s="162"/>
      <c r="IT160" s="162"/>
      <c r="IU160" s="162"/>
      <c r="IV160" s="162"/>
    </row>
    <row r="161" spans="1:256" s="168" customFormat="1" x14ac:dyDescent="0.2">
      <c r="A161" s="869"/>
      <c r="B161" s="923"/>
      <c r="C161" s="923"/>
      <c r="D161" s="923"/>
      <c r="E161" s="923"/>
      <c r="F161" s="923"/>
      <c r="G161" s="923"/>
      <c r="H161" s="923"/>
      <c r="I161" s="923"/>
      <c r="J161" s="923"/>
      <c r="K161" s="923"/>
      <c r="L161" s="923"/>
      <c r="M161" s="923"/>
      <c r="N161" s="923"/>
      <c r="O161" s="923"/>
      <c r="P161" s="923"/>
      <c r="Q161" s="912"/>
      <c r="R161" s="913"/>
      <c r="S161" s="167"/>
      <c r="W161" s="276" t="s">
        <v>153</v>
      </c>
      <c r="X161" s="187"/>
      <c r="Y161" s="187"/>
      <c r="Z161" s="187"/>
      <c r="AA161" s="303">
        <f>SUM(Data!HE33*Data!HE150)</f>
        <v>0</v>
      </c>
      <c r="AB161" s="187"/>
      <c r="AC161" s="303">
        <f>SUM(Data!HE38*Data!HE150)</f>
        <v>0</v>
      </c>
      <c r="AD161" s="187"/>
      <c r="AE161" s="277"/>
      <c r="AF161" s="277"/>
      <c r="AG161" s="278"/>
      <c r="AH161" s="279"/>
      <c r="AI161" s="279"/>
      <c r="AJ161" s="279"/>
      <c r="AM161" s="276" t="s">
        <v>153</v>
      </c>
      <c r="AN161" s="187"/>
      <c r="AO161" s="187"/>
      <c r="AP161" s="187"/>
      <c r="AQ161" s="303">
        <f>SUM(Data!HU33*Data!HU150)</f>
        <v>0</v>
      </c>
      <c r="AR161" s="187"/>
      <c r="AS161" s="303">
        <f>SUM(Data!HU38*Data!HU150)</f>
        <v>0</v>
      </c>
      <c r="AT161" s="187"/>
      <c r="AU161" s="277"/>
      <c r="AV161" s="277"/>
      <c r="AW161" s="278"/>
      <c r="AX161" s="279"/>
      <c r="AY161" s="279"/>
      <c r="AZ161" s="279"/>
      <c r="BC161" s="276" t="s">
        <v>153</v>
      </c>
      <c r="BD161" s="187"/>
      <c r="BE161" s="187"/>
      <c r="BF161" s="187"/>
      <c r="BG161" s="303">
        <f>SUM(Data!IK33*Data!IK150)</f>
        <v>0</v>
      </c>
      <c r="BH161" s="187"/>
      <c r="BI161" s="303">
        <f>SUM(Data!IK38*Data!IK150)</f>
        <v>0</v>
      </c>
      <c r="BJ161" s="187"/>
      <c r="BK161" s="277"/>
      <c r="BL161" s="277"/>
      <c r="BM161" s="278"/>
      <c r="BN161" s="279"/>
      <c r="BO161" s="279"/>
      <c r="BP161" s="279"/>
      <c r="BS161" s="276" t="s">
        <v>153</v>
      </c>
      <c r="BT161" s="187"/>
      <c r="BU161" s="187"/>
      <c r="BV161" s="187"/>
      <c r="BW161" s="303" t="e">
        <f>SUM(Data!#REF!*Data!#REF!)</f>
        <v>#REF!</v>
      </c>
      <c r="BX161" s="187"/>
      <c r="BY161" s="303" t="e">
        <f>SUM(Data!#REF!*Data!#REF!)</f>
        <v>#REF!</v>
      </c>
      <c r="BZ161" s="187"/>
      <c r="CA161" s="277"/>
      <c r="CB161" s="277"/>
      <c r="CC161" s="278"/>
      <c r="CD161" s="279"/>
      <c r="CE161" s="279"/>
      <c r="CF161" s="279"/>
      <c r="CI161" s="276" t="s">
        <v>153</v>
      </c>
      <c r="CJ161" s="187"/>
      <c r="CK161" s="187"/>
      <c r="CL161" s="187"/>
      <c r="CM161" s="303" t="e">
        <f>SUM(Data!#REF!*Data!#REF!)</f>
        <v>#REF!</v>
      </c>
      <c r="CN161" s="187"/>
      <c r="CO161" s="303" t="e">
        <f>SUM(Data!#REF!*Data!#REF!)</f>
        <v>#REF!</v>
      </c>
      <c r="CP161" s="187"/>
      <c r="CQ161" s="277"/>
      <c r="CR161" s="277"/>
      <c r="CS161" s="278"/>
      <c r="CT161" s="279"/>
      <c r="CU161" s="279"/>
      <c r="CV161" s="279"/>
      <c r="CY161" s="276" t="s">
        <v>153</v>
      </c>
      <c r="CZ161" s="187"/>
      <c r="DA161" s="187"/>
      <c r="DB161" s="187"/>
      <c r="DC161" s="303" t="e">
        <f>SUM(Data!#REF!*Data!#REF!)</f>
        <v>#REF!</v>
      </c>
      <c r="DD161" s="187"/>
      <c r="DE161" s="303" t="e">
        <f>SUM(Data!#REF!*Data!#REF!)</f>
        <v>#REF!</v>
      </c>
      <c r="DF161" s="187"/>
      <c r="DG161" s="277"/>
      <c r="DH161" s="277"/>
      <c r="DI161" s="278"/>
      <c r="DJ161" s="279"/>
      <c r="DK161" s="279"/>
      <c r="DL161" s="279"/>
      <c r="DO161" s="276" t="s">
        <v>153</v>
      </c>
      <c r="DP161" s="187"/>
      <c r="DQ161" s="187"/>
      <c r="DR161" s="187"/>
      <c r="DS161" s="303" t="e">
        <f>SUM(Data!#REF!*Data!#REF!)</f>
        <v>#REF!</v>
      </c>
      <c r="DT161" s="187"/>
      <c r="DU161" s="303" t="e">
        <f>SUM(Data!#REF!*Data!#REF!)</f>
        <v>#REF!</v>
      </c>
      <c r="DV161" s="187"/>
      <c r="DW161" s="277"/>
      <c r="DX161" s="277"/>
      <c r="DY161" s="278"/>
      <c r="DZ161" s="279"/>
      <c r="EA161" s="279"/>
      <c r="EB161" s="279"/>
      <c r="EE161" s="276" t="s">
        <v>153</v>
      </c>
      <c r="EF161" s="187"/>
      <c r="EG161" s="187"/>
      <c r="EH161" s="187"/>
      <c r="EI161" s="303" t="e">
        <f>SUM(Data!#REF!*Data!#REF!)</f>
        <v>#REF!</v>
      </c>
      <c r="EJ161" s="187"/>
      <c r="EK161" s="303" t="e">
        <f>SUM(Data!#REF!*Data!#REF!)</f>
        <v>#REF!</v>
      </c>
      <c r="EL161" s="187"/>
      <c r="EM161" s="277"/>
      <c r="EN161" s="277"/>
      <c r="EO161" s="278"/>
      <c r="EP161" s="279"/>
      <c r="EQ161" s="279"/>
      <c r="ER161" s="279"/>
      <c r="EU161" s="276" t="s">
        <v>153</v>
      </c>
      <c r="EV161" s="187"/>
      <c r="EW161" s="187"/>
      <c r="EX161" s="187"/>
      <c r="EY161" s="303" t="e">
        <f>SUM(Data!#REF!*Data!#REF!)</f>
        <v>#REF!</v>
      </c>
      <c r="EZ161" s="187"/>
      <c r="FA161" s="303" t="e">
        <f>SUM(Data!#REF!*Data!#REF!)</f>
        <v>#REF!</v>
      </c>
      <c r="FB161" s="187"/>
      <c r="FC161" s="277"/>
      <c r="FD161" s="277"/>
      <c r="FE161" s="278"/>
      <c r="FF161" s="279"/>
      <c r="FG161" s="279"/>
      <c r="FH161" s="279"/>
      <c r="HI161" s="162"/>
      <c r="HJ161" s="162"/>
      <c r="HK161" s="162"/>
      <c r="HL161" s="162"/>
      <c r="HM161" s="162"/>
      <c r="HN161" s="162"/>
      <c r="HO161" s="162"/>
      <c r="HP161" s="162"/>
      <c r="HQ161" s="162"/>
      <c r="HR161" s="162"/>
      <c r="HS161" s="162"/>
      <c r="HT161" s="162"/>
      <c r="HU161" s="162"/>
      <c r="HV161" s="162"/>
      <c r="HW161" s="162"/>
      <c r="HX161" s="162"/>
      <c r="HY161" s="162"/>
      <c r="HZ161" s="162"/>
      <c r="IA161" s="162"/>
      <c r="IB161" s="162"/>
      <c r="IC161" s="162"/>
      <c r="ID161" s="162"/>
      <c r="IE161" s="162"/>
      <c r="IF161" s="162"/>
      <c r="IG161" s="162"/>
      <c r="IH161" s="162"/>
      <c r="II161" s="162"/>
      <c r="IJ161" s="162"/>
      <c r="IK161" s="162"/>
      <c r="IL161" s="162"/>
      <c r="IM161" s="162"/>
      <c r="IN161" s="162"/>
      <c r="IO161" s="162"/>
      <c r="IP161" s="162"/>
      <c r="IQ161" s="162"/>
      <c r="IR161" s="162"/>
      <c r="IS161" s="162"/>
      <c r="IT161" s="162"/>
      <c r="IU161" s="162"/>
      <c r="IV161" s="162"/>
    </row>
    <row r="162" spans="1:256" s="168" customFormat="1" ht="12.75" x14ac:dyDescent="0.2">
      <c r="A162" s="869"/>
      <c r="B162" s="923"/>
      <c r="C162" s="923"/>
      <c r="D162" s="923"/>
      <c r="E162" s="923"/>
      <c r="F162" s="923"/>
      <c r="G162" s="923"/>
      <c r="H162" s="923"/>
      <c r="I162" s="923"/>
      <c r="J162" s="923"/>
      <c r="K162" s="923"/>
      <c r="L162" s="923"/>
      <c r="M162" s="923"/>
      <c r="N162" s="923"/>
      <c r="O162" s="923"/>
      <c r="P162" s="923"/>
      <c r="Q162" s="912"/>
      <c r="R162" s="913"/>
      <c r="S162" s="167"/>
      <c r="W162" s="206" t="s">
        <v>154</v>
      </c>
      <c r="Y162" s="168" t="s">
        <v>377</v>
      </c>
      <c r="AA162" s="242">
        <f>IF(Data!HE14=0,0,Data!HE150*Data!HG33)</f>
        <v>0</v>
      </c>
      <c r="AC162" s="168" t="s">
        <v>379</v>
      </c>
      <c r="AD162" s="249"/>
      <c r="AE162" s="304">
        <f>IF(Data!HE19=0,0,Data!HE150*Data!HG38)</f>
        <v>0</v>
      </c>
      <c r="AF162" s="191"/>
      <c r="AG162" s="192">
        <f>$M73</f>
        <v>24.794999999999998</v>
      </c>
      <c r="AH162" s="244" t="e">
        <f>$N73</f>
        <v>#DIV/0!</v>
      </c>
      <c r="AI162" s="244" t="e">
        <f>$O73</f>
        <v>#DIV/0!</v>
      </c>
      <c r="AJ162" s="244"/>
      <c r="AM162" s="206" t="s">
        <v>154</v>
      </c>
      <c r="AO162" s="168" t="s">
        <v>377</v>
      </c>
      <c r="AQ162" s="242">
        <f>IF(Data!HU14=0,0,Data!HU150*Data!HW33)</f>
        <v>0</v>
      </c>
      <c r="AS162" s="168" t="s">
        <v>379</v>
      </c>
      <c r="AT162" s="249"/>
      <c r="AU162" s="304">
        <f>IF(Data!HU19=0,0,Data!HU150*Data!HW38)</f>
        <v>0</v>
      </c>
      <c r="AV162" s="191"/>
      <c r="AW162" s="192">
        <f>$M73</f>
        <v>24.794999999999998</v>
      </c>
      <c r="AX162" s="244" t="e">
        <f>$N73</f>
        <v>#DIV/0!</v>
      </c>
      <c r="AY162" s="244" t="e">
        <f>$O73</f>
        <v>#DIV/0!</v>
      </c>
      <c r="AZ162" s="244"/>
      <c r="BC162" s="206" t="s">
        <v>154</v>
      </c>
      <c r="BE162" s="168" t="s">
        <v>377</v>
      </c>
      <c r="BG162" s="242">
        <f>IF(Data!IK14=0,0,Data!IK150*Data!IM33)</f>
        <v>0</v>
      </c>
      <c r="BI162" s="168" t="s">
        <v>379</v>
      </c>
      <c r="BJ162" s="249"/>
      <c r="BK162" s="304">
        <f>IF(Data!IK19=0,0,Data!IK150*Data!IM38)</f>
        <v>0</v>
      </c>
      <c r="BL162" s="191"/>
      <c r="BM162" s="192">
        <f>$M73</f>
        <v>24.794999999999998</v>
      </c>
      <c r="BN162" s="244" t="e">
        <f>$N73</f>
        <v>#DIV/0!</v>
      </c>
      <c r="BO162" s="244" t="e">
        <f>$O73</f>
        <v>#DIV/0!</v>
      </c>
      <c r="BP162" s="244"/>
      <c r="BS162" s="206" t="s">
        <v>154</v>
      </c>
      <c r="BU162" s="168" t="s">
        <v>377</v>
      </c>
      <c r="BW162" s="242" t="e">
        <f>IF(Data!#REF!=0,0,Data!#REF!*Data!#REF!)</f>
        <v>#REF!</v>
      </c>
      <c r="BY162" s="168" t="s">
        <v>379</v>
      </c>
      <c r="BZ162" s="249"/>
      <c r="CA162" s="304" t="e">
        <f>IF(Data!#REF!=0,0,Data!#REF!*Data!#REF!)</f>
        <v>#REF!</v>
      </c>
      <c r="CB162" s="191"/>
      <c r="CC162" s="192">
        <f>$M73</f>
        <v>24.794999999999998</v>
      </c>
      <c r="CD162" s="244" t="e">
        <f>$N73</f>
        <v>#DIV/0!</v>
      </c>
      <c r="CE162" s="244" t="e">
        <f>$O73</f>
        <v>#DIV/0!</v>
      </c>
      <c r="CF162" s="244"/>
      <c r="CI162" s="206" t="s">
        <v>154</v>
      </c>
      <c r="CK162" s="168" t="s">
        <v>377</v>
      </c>
      <c r="CM162" s="242" t="e">
        <f>IF(Data!#REF!=0,0,Data!#REF!*Data!#REF!)</f>
        <v>#REF!</v>
      </c>
      <c r="CO162" s="168" t="s">
        <v>379</v>
      </c>
      <c r="CP162" s="249"/>
      <c r="CQ162" s="304" t="e">
        <f>IF(Data!#REF!=0,0,Data!#REF!*Data!#REF!)</f>
        <v>#REF!</v>
      </c>
      <c r="CR162" s="191"/>
      <c r="CS162" s="192">
        <f>$M73</f>
        <v>24.794999999999998</v>
      </c>
      <c r="CT162" s="244" t="e">
        <f>$N73</f>
        <v>#DIV/0!</v>
      </c>
      <c r="CU162" s="244" t="e">
        <f>$O73</f>
        <v>#DIV/0!</v>
      </c>
      <c r="CV162" s="244"/>
      <c r="CY162" s="206" t="s">
        <v>154</v>
      </c>
      <c r="DA162" s="168" t="s">
        <v>377</v>
      </c>
      <c r="DC162" s="242" t="e">
        <f>IF(Data!#REF!=0,0,Data!#REF!*Data!#REF!)</f>
        <v>#REF!</v>
      </c>
      <c r="DE162" s="168" t="s">
        <v>379</v>
      </c>
      <c r="DF162" s="249"/>
      <c r="DG162" s="304" t="e">
        <f>IF(Data!#REF!=0,0,Data!#REF!*Data!#REF!)</f>
        <v>#REF!</v>
      </c>
      <c r="DH162" s="191"/>
      <c r="DI162" s="192">
        <f>$M73</f>
        <v>24.794999999999998</v>
      </c>
      <c r="DJ162" s="244" t="e">
        <f>$N73</f>
        <v>#DIV/0!</v>
      </c>
      <c r="DK162" s="244" t="e">
        <f>$O73</f>
        <v>#DIV/0!</v>
      </c>
      <c r="DL162" s="244"/>
      <c r="DO162" s="206" t="s">
        <v>154</v>
      </c>
      <c r="DQ162" s="168" t="s">
        <v>377</v>
      </c>
      <c r="DS162" s="242" t="e">
        <f>IF(Data!#REF!=0,0,Data!#REF!*Data!#REF!)</f>
        <v>#REF!</v>
      </c>
      <c r="DU162" s="168" t="s">
        <v>379</v>
      </c>
      <c r="DV162" s="249"/>
      <c r="DW162" s="304" t="e">
        <f>IF(Data!#REF!=0,0,Data!#REF!*Data!#REF!)</f>
        <v>#REF!</v>
      </c>
      <c r="DX162" s="191"/>
      <c r="DY162" s="192">
        <f>$M73</f>
        <v>24.794999999999998</v>
      </c>
      <c r="DZ162" s="244" t="e">
        <f>$N73</f>
        <v>#DIV/0!</v>
      </c>
      <c r="EA162" s="244" t="e">
        <f>$O73</f>
        <v>#DIV/0!</v>
      </c>
      <c r="EB162" s="244"/>
      <c r="EE162" s="206" t="s">
        <v>154</v>
      </c>
      <c r="EG162" s="168" t="s">
        <v>377</v>
      </c>
      <c r="EI162" s="242" t="e">
        <f>IF(Data!#REF!=0,0,Data!#REF!*Data!#REF!)</f>
        <v>#REF!</v>
      </c>
      <c r="EK162" s="168" t="s">
        <v>379</v>
      </c>
      <c r="EL162" s="249"/>
      <c r="EM162" s="304" t="e">
        <f>IF(Data!#REF!=0,0,Data!#REF!*Data!#REF!)</f>
        <v>#REF!</v>
      </c>
      <c r="EN162" s="191"/>
      <c r="EO162" s="192">
        <f>$M73</f>
        <v>24.794999999999998</v>
      </c>
      <c r="EP162" s="244" t="e">
        <f>$N73</f>
        <v>#DIV/0!</v>
      </c>
      <c r="EQ162" s="244" t="e">
        <f>$O73</f>
        <v>#DIV/0!</v>
      </c>
      <c r="ER162" s="244"/>
      <c r="EU162" s="206" t="s">
        <v>154</v>
      </c>
      <c r="EW162" s="168" t="s">
        <v>377</v>
      </c>
      <c r="EY162" s="242" t="e">
        <f>IF(Data!#REF!=0,0,Data!#REF!*Data!#REF!)</f>
        <v>#REF!</v>
      </c>
      <c r="FA162" s="168" t="s">
        <v>379</v>
      </c>
      <c r="FB162" s="249"/>
      <c r="FC162" s="304" t="e">
        <f>IF(Data!#REF!=0,0,Data!#REF!*Data!#REF!)</f>
        <v>#REF!</v>
      </c>
      <c r="FD162" s="191"/>
      <c r="FE162" s="192">
        <f>$M73</f>
        <v>24.794999999999998</v>
      </c>
      <c r="FF162" s="244" t="e">
        <f>$N73</f>
        <v>#DIV/0!</v>
      </c>
      <c r="FG162" s="244" t="e">
        <f>$O73</f>
        <v>#DIV/0!</v>
      </c>
      <c r="FH162" s="244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</row>
    <row r="163" spans="1:256" s="168" customFormat="1" x14ac:dyDescent="0.2">
      <c r="A163" s="869"/>
      <c r="B163" s="923"/>
      <c r="C163" s="923"/>
      <c r="D163" s="923"/>
      <c r="E163" s="923"/>
      <c r="F163" s="923"/>
      <c r="G163" s="923"/>
      <c r="H163" s="923"/>
      <c r="I163" s="923"/>
      <c r="J163" s="923"/>
      <c r="K163" s="923"/>
      <c r="L163" s="923"/>
      <c r="M163" s="923"/>
      <c r="N163" s="923"/>
      <c r="O163" s="923"/>
      <c r="P163" s="923"/>
      <c r="Q163" s="912"/>
      <c r="R163" s="913"/>
      <c r="S163" s="167"/>
      <c r="W163" s="271" t="s">
        <v>159</v>
      </c>
      <c r="X163" s="272"/>
      <c r="Y163" s="272"/>
      <c r="Z163" s="272"/>
      <c r="AA163" s="272">
        <f>SUM(Data!HF152*(AA103/1000))</f>
        <v>0</v>
      </c>
      <c r="AB163" s="272"/>
      <c r="AC163" s="272">
        <f>SUM(Data!HF152*AA106)</f>
        <v>0</v>
      </c>
      <c r="AD163" s="272"/>
      <c r="AE163" s="274"/>
      <c r="AF163" s="274"/>
      <c r="AG163" s="280">
        <f>IF(Y125=0,0,(GT8*Data!GP152)/Y125)+(200/Y125)</f>
        <v>1.25</v>
      </c>
      <c r="AH163" s="281">
        <f>$N74</f>
        <v>0</v>
      </c>
      <c r="AI163" s="281">
        <f>$O74</f>
        <v>0</v>
      </c>
      <c r="AJ163" s="281">
        <f>$P74</f>
        <v>0</v>
      </c>
      <c r="AM163" s="271" t="s">
        <v>159</v>
      </c>
      <c r="AN163" s="272"/>
      <c r="AO163" s="272"/>
      <c r="AP163" s="272"/>
      <c r="AQ163" s="272">
        <f>SUM(Data!HV152*(AQ103/1000))</f>
        <v>0</v>
      </c>
      <c r="AR163" s="272"/>
      <c r="AS163" s="272">
        <f>SUM(Data!HV152*AQ106)</f>
        <v>0</v>
      </c>
      <c r="AT163" s="272"/>
      <c r="AU163" s="274"/>
      <c r="AV163" s="274"/>
      <c r="AW163" s="280">
        <f>IF(AO125=0,0,(Z106*Data!HF152)/AO125)+(200/AO125)</f>
        <v>1.25</v>
      </c>
      <c r="AX163" s="281">
        <f>$N74</f>
        <v>0</v>
      </c>
      <c r="AY163" s="281">
        <f>$O74</f>
        <v>0</v>
      </c>
      <c r="AZ163" s="281">
        <f>$P74</f>
        <v>0</v>
      </c>
      <c r="BC163" s="271" t="s">
        <v>159</v>
      </c>
      <c r="BD163" s="272"/>
      <c r="BE163" s="272"/>
      <c r="BF163" s="272"/>
      <c r="BG163" s="272">
        <f>SUM(Data!IL152*(BG103/1000))</f>
        <v>0</v>
      </c>
      <c r="BH163" s="272"/>
      <c r="BI163" s="272">
        <f>SUM(Data!IL152*BG106)</f>
        <v>0</v>
      </c>
      <c r="BJ163" s="272"/>
      <c r="BK163" s="274"/>
      <c r="BL163" s="274"/>
      <c r="BM163" s="280">
        <f>IF(BE125=0,0,(AP106*Data!HV152)/BE125)+(200/BE125)</f>
        <v>1.25</v>
      </c>
      <c r="BN163" s="281">
        <f>$N74</f>
        <v>0</v>
      </c>
      <c r="BO163" s="281">
        <f>$O74</f>
        <v>0</v>
      </c>
      <c r="BP163" s="281">
        <f>$P74</f>
        <v>0</v>
      </c>
      <c r="BS163" s="271" t="s">
        <v>159</v>
      </c>
      <c r="BT163" s="272"/>
      <c r="BU163" s="272"/>
      <c r="BV163" s="272"/>
      <c r="BW163" s="272" t="e">
        <f>SUM(Data!#REF!*(BW103/1000))</f>
        <v>#REF!</v>
      </c>
      <c r="BX163" s="272"/>
      <c r="BY163" s="272" t="e">
        <f>SUM(Data!#REF!*BW106)</f>
        <v>#REF!</v>
      </c>
      <c r="BZ163" s="272"/>
      <c r="CA163" s="274"/>
      <c r="CB163" s="274"/>
      <c r="CC163" s="280">
        <f>IF(BU125=0,0,(BF106*Data!IL152)/BU125)+(200/BU125)</f>
        <v>1.25</v>
      </c>
      <c r="CD163" s="281">
        <f>$N74</f>
        <v>0</v>
      </c>
      <c r="CE163" s="281">
        <f>$O74</f>
        <v>0</v>
      </c>
      <c r="CF163" s="281">
        <f>$P74</f>
        <v>0</v>
      </c>
      <c r="CI163" s="271" t="s">
        <v>159</v>
      </c>
      <c r="CJ163" s="272"/>
      <c r="CK163" s="272"/>
      <c r="CL163" s="272"/>
      <c r="CM163" s="272" t="e">
        <f>SUM(Data!#REF!*(CM103/1000))</f>
        <v>#REF!</v>
      </c>
      <c r="CN163" s="272"/>
      <c r="CO163" s="272" t="e">
        <f>SUM(Data!#REF!*CM106)</f>
        <v>#REF!</v>
      </c>
      <c r="CP163" s="272"/>
      <c r="CQ163" s="274"/>
      <c r="CR163" s="274"/>
      <c r="CS163" s="280" t="e">
        <f>IF(CK125=0,0,(BV106*Data!#REF!)/CK125)+(200/CK125)</f>
        <v>#REF!</v>
      </c>
      <c r="CT163" s="281">
        <f>$N74</f>
        <v>0</v>
      </c>
      <c r="CU163" s="281">
        <f>$O74</f>
        <v>0</v>
      </c>
      <c r="CV163" s="281">
        <f>$P74</f>
        <v>0</v>
      </c>
      <c r="CY163" s="271" t="s">
        <v>159</v>
      </c>
      <c r="CZ163" s="272"/>
      <c r="DA163" s="272"/>
      <c r="DB163" s="272"/>
      <c r="DC163" s="272" t="e">
        <f>SUM(Data!#REF!*(DC103/1000))</f>
        <v>#REF!</v>
      </c>
      <c r="DD163" s="272"/>
      <c r="DE163" s="272" t="e">
        <f>SUM(Data!#REF!*DC106)</f>
        <v>#REF!</v>
      </c>
      <c r="DF163" s="272"/>
      <c r="DG163" s="274"/>
      <c r="DH163" s="274"/>
      <c r="DI163" s="280" t="e">
        <f>IF(DA125=0,0,(CL106*Data!#REF!)/DA125)+(200/DA125)</f>
        <v>#REF!</v>
      </c>
      <c r="DJ163" s="281">
        <f>$N74</f>
        <v>0</v>
      </c>
      <c r="DK163" s="281">
        <f>$O74</f>
        <v>0</v>
      </c>
      <c r="DL163" s="281">
        <f>$P74</f>
        <v>0</v>
      </c>
      <c r="DO163" s="271" t="s">
        <v>159</v>
      </c>
      <c r="DP163" s="272"/>
      <c r="DQ163" s="272"/>
      <c r="DR163" s="272"/>
      <c r="DS163" s="272" t="e">
        <f>SUM(Data!#REF!*(DS103/1000))</f>
        <v>#REF!</v>
      </c>
      <c r="DT163" s="272"/>
      <c r="DU163" s="272" t="e">
        <f>SUM(Data!#REF!*DS106)</f>
        <v>#REF!</v>
      </c>
      <c r="DV163" s="272"/>
      <c r="DW163" s="274"/>
      <c r="DX163" s="274"/>
      <c r="DY163" s="280" t="e">
        <f>IF(DQ125=0,0,(DB106*Data!#REF!)/DQ125)+(200/DQ125)</f>
        <v>#REF!</v>
      </c>
      <c r="DZ163" s="281">
        <f>$N74</f>
        <v>0</v>
      </c>
      <c r="EA163" s="281">
        <f>$O74</f>
        <v>0</v>
      </c>
      <c r="EB163" s="281">
        <f>$P74</f>
        <v>0</v>
      </c>
      <c r="EE163" s="271" t="s">
        <v>159</v>
      </c>
      <c r="EF163" s="272"/>
      <c r="EG163" s="272"/>
      <c r="EH163" s="272"/>
      <c r="EI163" s="272" t="e">
        <f>SUM(Data!#REF!*(EI103/1000))</f>
        <v>#REF!</v>
      </c>
      <c r="EJ163" s="272"/>
      <c r="EK163" s="272" t="e">
        <f>SUM(Data!#REF!*EI106)</f>
        <v>#REF!</v>
      </c>
      <c r="EL163" s="272"/>
      <c r="EM163" s="274"/>
      <c r="EN163" s="274"/>
      <c r="EO163" s="280" t="e">
        <f>IF(EG125=0,0,(DR106*Data!#REF!)/EG125)+(200/EG125)</f>
        <v>#REF!</v>
      </c>
      <c r="EP163" s="281">
        <f>$N74</f>
        <v>0</v>
      </c>
      <c r="EQ163" s="281">
        <f>$O74</f>
        <v>0</v>
      </c>
      <c r="ER163" s="281">
        <f>$P74</f>
        <v>0</v>
      </c>
      <c r="EU163" s="271" t="s">
        <v>159</v>
      </c>
      <c r="EV163" s="272"/>
      <c r="EW163" s="272"/>
      <c r="EX163" s="272"/>
      <c r="EY163" s="272" t="e">
        <f>SUM(Data!#REF!*(EY103/1000))</f>
        <v>#REF!</v>
      </c>
      <c r="EZ163" s="272"/>
      <c r="FA163" s="272" t="e">
        <f>SUM(Data!#REF!*EY106)</f>
        <v>#REF!</v>
      </c>
      <c r="FB163" s="272"/>
      <c r="FC163" s="274"/>
      <c r="FD163" s="274"/>
      <c r="FE163" s="280" t="e">
        <f>IF(EW125=0,0,(EH106*Data!#REF!)/EW125)+(200/EW125)</f>
        <v>#REF!</v>
      </c>
      <c r="FF163" s="281">
        <f>$N74</f>
        <v>0</v>
      </c>
      <c r="FG163" s="281">
        <f>$O74</f>
        <v>0</v>
      </c>
      <c r="FH163" s="281">
        <f>$P74</f>
        <v>0</v>
      </c>
      <c r="HI163" s="162"/>
      <c r="HJ163" s="162"/>
      <c r="HK163" s="162"/>
      <c r="HL163" s="162"/>
      <c r="HM163" s="162"/>
      <c r="HN163" s="162"/>
      <c r="HO163" s="162"/>
      <c r="HP163" s="162"/>
      <c r="HQ163" s="162"/>
      <c r="HR163" s="162"/>
      <c r="HS163" s="162"/>
      <c r="HT163" s="162"/>
      <c r="HU163" s="162"/>
      <c r="HV163" s="162"/>
      <c r="HW163" s="162"/>
      <c r="HX163" s="162"/>
      <c r="HY163" s="162"/>
      <c r="HZ163" s="162"/>
      <c r="IA163" s="162"/>
      <c r="IB163" s="162"/>
      <c r="IC163" s="162"/>
      <c r="ID163" s="162"/>
      <c r="IE163" s="162"/>
      <c r="IF163" s="162"/>
      <c r="IG163" s="162"/>
      <c r="IH163" s="162"/>
      <c r="II163" s="162"/>
      <c r="IJ163" s="162"/>
      <c r="IK163" s="162"/>
      <c r="IL163" s="162"/>
      <c r="IM163" s="162"/>
      <c r="IN163" s="162"/>
      <c r="IO163" s="162"/>
      <c r="IP163" s="162"/>
      <c r="IQ163" s="162"/>
      <c r="IR163" s="162"/>
      <c r="IS163" s="162"/>
      <c r="IT163" s="162"/>
      <c r="IU163" s="162"/>
      <c r="IV163" s="162"/>
    </row>
    <row r="164" spans="1:256" s="168" customFormat="1" x14ac:dyDescent="0.2">
      <c r="A164" s="869"/>
      <c r="B164" s="923"/>
      <c r="C164" s="923"/>
      <c r="D164" s="923"/>
      <c r="E164" s="923"/>
      <c r="F164" s="923"/>
      <c r="G164" s="923"/>
      <c r="H164" s="923"/>
      <c r="I164" s="923"/>
      <c r="J164" s="923"/>
      <c r="K164" s="923"/>
      <c r="L164" s="923"/>
      <c r="M164" s="923"/>
      <c r="N164" s="923"/>
      <c r="O164" s="923"/>
      <c r="P164" s="923"/>
      <c r="Q164" s="912"/>
      <c r="R164" s="913"/>
      <c r="S164" s="167"/>
      <c r="W164" s="229" t="s">
        <v>160</v>
      </c>
      <c r="X164" s="215"/>
      <c r="Y164" s="215"/>
      <c r="Z164" s="215"/>
      <c r="AA164" s="305" t="e">
        <f>SUM(AH164*AC103)/100</f>
        <v>#DIV/0!</v>
      </c>
      <c r="AB164" s="215"/>
      <c r="AC164" s="305" t="e">
        <f>SUM(AI164*AC104)/100</f>
        <v>#DIV/0!</v>
      </c>
      <c r="AD164" s="215"/>
      <c r="AE164" s="306">
        <f>SUM(AJ164*AC105)/100</f>
        <v>0</v>
      </c>
      <c r="AF164" s="233"/>
      <c r="AG164" s="296" t="e">
        <f>$M75</f>
        <v>#DIV/0!</v>
      </c>
      <c r="AH164" s="297" t="e">
        <f>$N75</f>
        <v>#DIV/0!</v>
      </c>
      <c r="AI164" s="297" t="e">
        <f>$O75</f>
        <v>#DIV/0!</v>
      </c>
      <c r="AJ164" s="297">
        <f>$P75</f>
        <v>0</v>
      </c>
      <c r="AM164" s="229" t="s">
        <v>160</v>
      </c>
      <c r="AN164" s="215"/>
      <c r="AO164" s="215"/>
      <c r="AP164" s="215"/>
      <c r="AQ164" s="305" t="e">
        <f>SUM(AX164*AS103)/100</f>
        <v>#DIV/0!</v>
      </c>
      <c r="AR164" s="215"/>
      <c r="AS164" s="305" t="e">
        <f>SUM(AY164*AS104)/100</f>
        <v>#DIV/0!</v>
      </c>
      <c r="AT164" s="215"/>
      <c r="AU164" s="306">
        <f>SUM(AZ164*AS105)/100</f>
        <v>0</v>
      </c>
      <c r="AV164" s="233"/>
      <c r="AW164" s="296" t="e">
        <f>$M75</f>
        <v>#DIV/0!</v>
      </c>
      <c r="AX164" s="297" t="e">
        <f>$N75</f>
        <v>#DIV/0!</v>
      </c>
      <c r="AY164" s="297" t="e">
        <f>$O75</f>
        <v>#DIV/0!</v>
      </c>
      <c r="AZ164" s="297">
        <f>$P75</f>
        <v>0</v>
      </c>
      <c r="BC164" s="229" t="s">
        <v>160</v>
      </c>
      <c r="BD164" s="215"/>
      <c r="BE164" s="215"/>
      <c r="BF164" s="215"/>
      <c r="BG164" s="305" t="e">
        <f>SUM(BN164*BI103)/100</f>
        <v>#DIV/0!</v>
      </c>
      <c r="BH164" s="215"/>
      <c r="BI164" s="305" t="e">
        <f>SUM(BO164*BI104)/100</f>
        <v>#DIV/0!</v>
      </c>
      <c r="BJ164" s="215"/>
      <c r="BK164" s="306">
        <f>SUM(BP164*BI105)/100</f>
        <v>0</v>
      </c>
      <c r="BL164" s="233"/>
      <c r="BM164" s="296" t="e">
        <f>$M75</f>
        <v>#DIV/0!</v>
      </c>
      <c r="BN164" s="297" t="e">
        <f>$N75</f>
        <v>#DIV/0!</v>
      </c>
      <c r="BO164" s="297" t="e">
        <f>$O75</f>
        <v>#DIV/0!</v>
      </c>
      <c r="BP164" s="297">
        <f>$P75</f>
        <v>0</v>
      </c>
      <c r="BS164" s="229" t="s">
        <v>160</v>
      </c>
      <c r="BT164" s="215"/>
      <c r="BU164" s="215"/>
      <c r="BV164" s="215"/>
      <c r="BW164" s="305" t="e">
        <f>SUM(CD164*BY103)/100</f>
        <v>#DIV/0!</v>
      </c>
      <c r="BX164" s="215"/>
      <c r="BY164" s="305" t="e">
        <f>SUM(CE164*BY104)/100</f>
        <v>#DIV/0!</v>
      </c>
      <c r="BZ164" s="215"/>
      <c r="CA164" s="306">
        <f>SUM(CF164*BY105)/100</f>
        <v>0</v>
      </c>
      <c r="CB164" s="233"/>
      <c r="CC164" s="296" t="e">
        <f>$M75</f>
        <v>#DIV/0!</v>
      </c>
      <c r="CD164" s="297" t="e">
        <f>$N75</f>
        <v>#DIV/0!</v>
      </c>
      <c r="CE164" s="297" t="e">
        <f>$O75</f>
        <v>#DIV/0!</v>
      </c>
      <c r="CF164" s="297">
        <f>$P75</f>
        <v>0</v>
      </c>
      <c r="CI164" s="229" t="s">
        <v>160</v>
      </c>
      <c r="CJ164" s="215"/>
      <c r="CK164" s="215"/>
      <c r="CL164" s="215"/>
      <c r="CM164" s="305" t="e">
        <f>SUM(CT164*CO103)/100</f>
        <v>#DIV/0!</v>
      </c>
      <c r="CN164" s="215"/>
      <c r="CO164" s="305" t="e">
        <f>SUM(CU164*CO104)/100</f>
        <v>#DIV/0!</v>
      </c>
      <c r="CP164" s="215"/>
      <c r="CQ164" s="306">
        <f>SUM(CV164*CO105)/100</f>
        <v>0</v>
      </c>
      <c r="CR164" s="233"/>
      <c r="CS164" s="296" t="e">
        <f>$M75</f>
        <v>#DIV/0!</v>
      </c>
      <c r="CT164" s="297" t="e">
        <f>$N75</f>
        <v>#DIV/0!</v>
      </c>
      <c r="CU164" s="297" t="e">
        <f>$O75</f>
        <v>#DIV/0!</v>
      </c>
      <c r="CV164" s="297">
        <f>$P75</f>
        <v>0</v>
      </c>
      <c r="CY164" s="229" t="s">
        <v>160</v>
      </c>
      <c r="CZ164" s="215"/>
      <c r="DA164" s="215"/>
      <c r="DB164" s="215"/>
      <c r="DC164" s="305" t="e">
        <f>SUM(DJ164*DE103)/100</f>
        <v>#DIV/0!</v>
      </c>
      <c r="DD164" s="215"/>
      <c r="DE164" s="305" t="e">
        <f>SUM(DK164*DE104)/100</f>
        <v>#DIV/0!</v>
      </c>
      <c r="DF164" s="215"/>
      <c r="DG164" s="306">
        <f>SUM(DL164*DE105)/100</f>
        <v>0</v>
      </c>
      <c r="DH164" s="233"/>
      <c r="DI164" s="296" t="e">
        <f>$M75</f>
        <v>#DIV/0!</v>
      </c>
      <c r="DJ164" s="297" t="e">
        <f>$N75</f>
        <v>#DIV/0!</v>
      </c>
      <c r="DK164" s="297" t="e">
        <f>$O75</f>
        <v>#DIV/0!</v>
      </c>
      <c r="DL164" s="297">
        <f>$P75</f>
        <v>0</v>
      </c>
      <c r="DO164" s="229" t="s">
        <v>160</v>
      </c>
      <c r="DP164" s="215"/>
      <c r="DQ164" s="215"/>
      <c r="DR164" s="215"/>
      <c r="DS164" s="305" t="e">
        <f>SUM(DZ164*DU103)/100</f>
        <v>#DIV/0!</v>
      </c>
      <c r="DT164" s="215"/>
      <c r="DU164" s="305" t="e">
        <f>SUM(EA164*DU104)/100</f>
        <v>#DIV/0!</v>
      </c>
      <c r="DV164" s="215"/>
      <c r="DW164" s="306">
        <f>SUM(EB164*DU105)/100</f>
        <v>0</v>
      </c>
      <c r="DX164" s="233"/>
      <c r="DY164" s="296" t="e">
        <f>$M75</f>
        <v>#DIV/0!</v>
      </c>
      <c r="DZ164" s="297" t="e">
        <f>$N75</f>
        <v>#DIV/0!</v>
      </c>
      <c r="EA164" s="297" t="e">
        <f>$O75</f>
        <v>#DIV/0!</v>
      </c>
      <c r="EB164" s="297">
        <f>$P75</f>
        <v>0</v>
      </c>
      <c r="EE164" s="229" t="s">
        <v>160</v>
      </c>
      <c r="EF164" s="215"/>
      <c r="EG164" s="215"/>
      <c r="EH164" s="215"/>
      <c r="EI164" s="305" t="e">
        <f>SUM(EP164*EK103)/100</f>
        <v>#DIV/0!</v>
      </c>
      <c r="EJ164" s="215"/>
      <c r="EK164" s="305" t="e">
        <f>SUM(EQ164*EK104)/100</f>
        <v>#DIV/0!</v>
      </c>
      <c r="EL164" s="215"/>
      <c r="EM164" s="306">
        <f>SUM(ER164*EK105)/100</f>
        <v>0</v>
      </c>
      <c r="EN164" s="233"/>
      <c r="EO164" s="296" t="e">
        <f>$M75</f>
        <v>#DIV/0!</v>
      </c>
      <c r="EP164" s="297" t="e">
        <f>$N75</f>
        <v>#DIV/0!</v>
      </c>
      <c r="EQ164" s="297" t="e">
        <f>$O75</f>
        <v>#DIV/0!</v>
      </c>
      <c r="ER164" s="297">
        <f>$P75</f>
        <v>0</v>
      </c>
      <c r="EU164" s="229" t="s">
        <v>160</v>
      </c>
      <c r="EV164" s="215"/>
      <c r="EW164" s="215"/>
      <c r="EX164" s="215"/>
      <c r="EY164" s="305" t="e">
        <f>SUM(FF164*FA103)/100</f>
        <v>#DIV/0!</v>
      </c>
      <c r="EZ164" s="215"/>
      <c r="FA164" s="305" t="e">
        <f>SUM(FG164*FA104)/100</f>
        <v>#DIV/0!</v>
      </c>
      <c r="FB164" s="215"/>
      <c r="FC164" s="306">
        <f>SUM(FH164*FA105)/100</f>
        <v>0</v>
      </c>
      <c r="FD164" s="233"/>
      <c r="FE164" s="296" t="e">
        <f>$M75</f>
        <v>#DIV/0!</v>
      </c>
      <c r="FF164" s="297" t="e">
        <f>$N75</f>
        <v>#DIV/0!</v>
      </c>
      <c r="FG164" s="297" t="e">
        <f>$O75</f>
        <v>#DIV/0!</v>
      </c>
      <c r="FH164" s="297">
        <f>$P75</f>
        <v>0</v>
      </c>
      <c r="HI164" s="162"/>
      <c r="HJ164" s="162"/>
      <c r="HK164" s="162"/>
      <c r="HL164" s="162"/>
      <c r="HM164" s="162"/>
      <c r="HN164" s="162"/>
      <c r="HO164" s="162"/>
      <c r="HP164" s="162"/>
      <c r="HQ164" s="162"/>
      <c r="HR164" s="162"/>
      <c r="HS164" s="162"/>
      <c r="HT164" s="162"/>
      <c r="HU164" s="162"/>
      <c r="HV164" s="162"/>
      <c r="HW164" s="162"/>
      <c r="HX164" s="162"/>
      <c r="HY164" s="162"/>
      <c r="HZ164" s="162"/>
      <c r="IA164" s="162"/>
      <c r="IB164" s="162"/>
      <c r="IC164" s="162"/>
      <c r="ID164" s="162"/>
      <c r="IE164" s="162"/>
      <c r="IF164" s="162"/>
      <c r="IG164" s="162"/>
      <c r="IH164" s="162"/>
      <c r="II164" s="162"/>
      <c r="IJ164" s="162"/>
      <c r="IK164" s="162"/>
      <c r="IL164" s="162"/>
      <c r="IM164" s="162"/>
      <c r="IN164" s="162"/>
      <c r="IO164" s="162"/>
      <c r="IP164" s="162"/>
      <c r="IQ164" s="162"/>
      <c r="IR164" s="162"/>
      <c r="IS164" s="162"/>
      <c r="IT164" s="162"/>
      <c r="IU164" s="162"/>
      <c r="IV164" s="162"/>
    </row>
    <row r="165" spans="1:256" s="187" customFormat="1" x14ac:dyDescent="0.2">
      <c r="A165" s="869"/>
      <c r="B165" s="923"/>
      <c r="C165" s="923"/>
      <c r="D165" s="923"/>
      <c r="E165" s="923"/>
      <c r="F165" s="923"/>
      <c r="G165" s="923"/>
      <c r="H165" s="923"/>
      <c r="I165" s="923"/>
      <c r="J165" s="923"/>
      <c r="K165" s="923"/>
      <c r="L165" s="923"/>
      <c r="M165" s="923"/>
      <c r="N165" s="923"/>
      <c r="O165" s="923"/>
      <c r="P165" s="923"/>
      <c r="Q165" s="912"/>
      <c r="R165" s="913"/>
      <c r="S165" s="167"/>
      <c r="T165" s="168"/>
      <c r="U165" s="168"/>
      <c r="V165" s="168"/>
      <c r="W165" s="276" t="s">
        <v>167</v>
      </c>
      <c r="AE165" s="277"/>
      <c r="AF165" s="277"/>
      <c r="AG165" s="278"/>
      <c r="AH165" s="279"/>
      <c r="AI165" s="279"/>
      <c r="AJ165" s="279"/>
      <c r="AK165" s="168"/>
      <c r="AL165" s="168"/>
      <c r="AM165" s="276" t="s">
        <v>167</v>
      </c>
      <c r="AU165" s="277"/>
      <c r="AV165" s="277"/>
      <c r="AW165" s="278"/>
      <c r="AX165" s="279"/>
      <c r="AY165" s="279"/>
      <c r="AZ165" s="279"/>
      <c r="BA165" s="168"/>
      <c r="BB165" s="168"/>
      <c r="BC165" s="276" t="s">
        <v>167</v>
      </c>
      <c r="BK165" s="277"/>
      <c r="BL165" s="277"/>
      <c r="BM165" s="278"/>
      <c r="BN165" s="279"/>
      <c r="BO165" s="279"/>
      <c r="BP165" s="279"/>
      <c r="BQ165" s="168"/>
      <c r="BR165" s="168"/>
      <c r="BS165" s="276" t="s">
        <v>167</v>
      </c>
      <c r="CA165" s="277"/>
      <c r="CB165" s="277"/>
      <c r="CC165" s="278"/>
      <c r="CD165" s="279"/>
      <c r="CE165" s="279"/>
      <c r="CF165" s="279"/>
      <c r="CG165" s="168"/>
      <c r="CH165" s="168"/>
      <c r="CI165" s="276" t="s">
        <v>167</v>
      </c>
      <c r="CQ165" s="277"/>
      <c r="CR165" s="277"/>
      <c r="CS165" s="278"/>
      <c r="CT165" s="279"/>
      <c r="CU165" s="279"/>
      <c r="CV165" s="279"/>
      <c r="CW165" s="168"/>
      <c r="CX165" s="168"/>
      <c r="CY165" s="276" t="s">
        <v>167</v>
      </c>
      <c r="DG165" s="277"/>
      <c r="DH165" s="277"/>
      <c r="DI165" s="278"/>
      <c r="DJ165" s="279"/>
      <c r="DK165" s="279"/>
      <c r="DL165" s="279"/>
      <c r="DM165" s="168"/>
      <c r="DN165" s="168"/>
      <c r="DO165" s="276" t="s">
        <v>167</v>
      </c>
      <c r="DW165" s="277"/>
      <c r="DX165" s="277"/>
      <c r="DY165" s="278"/>
      <c r="DZ165" s="279"/>
      <c r="EA165" s="279"/>
      <c r="EB165" s="279"/>
      <c r="EC165" s="168"/>
      <c r="ED165" s="168"/>
      <c r="EE165" s="276" t="s">
        <v>167</v>
      </c>
      <c r="EM165" s="277"/>
      <c r="EN165" s="277"/>
      <c r="EO165" s="278"/>
      <c r="EP165" s="279"/>
      <c r="EQ165" s="279"/>
      <c r="ER165" s="279"/>
      <c r="ES165" s="168"/>
      <c r="ET165" s="168"/>
      <c r="EU165" s="276" t="s">
        <v>167</v>
      </c>
      <c r="FC165" s="277"/>
      <c r="FD165" s="277"/>
      <c r="FE165" s="278"/>
      <c r="FF165" s="279"/>
      <c r="FG165" s="279"/>
      <c r="FH165" s="279"/>
      <c r="FI165" s="168"/>
      <c r="FJ165" s="168"/>
      <c r="FK165" s="168"/>
      <c r="FL165" s="168"/>
      <c r="FM165" s="168"/>
      <c r="FN165" s="168"/>
      <c r="FO165" s="168"/>
      <c r="FP165" s="168"/>
      <c r="FQ165" s="168"/>
      <c r="FR165" s="168"/>
      <c r="FS165" s="168"/>
      <c r="FT165" s="168"/>
      <c r="FU165" s="168"/>
      <c r="FV165" s="168"/>
      <c r="FW165" s="168"/>
      <c r="FX165" s="168"/>
      <c r="FY165" s="168"/>
      <c r="FZ165" s="168"/>
      <c r="GA165" s="168"/>
      <c r="GB165" s="168"/>
      <c r="GC165" s="168"/>
      <c r="GD165" s="168"/>
      <c r="GE165" s="168"/>
      <c r="GF165" s="168"/>
      <c r="GG165" s="168"/>
      <c r="GH165" s="168"/>
      <c r="GI165" s="168"/>
      <c r="GJ165" s="168"/>
      <c r="GK165" s="168"/>
      <c r="GL165" s="168"/>
      <c r="GM165" s="168"/>
      <c r="GN165" s="168"/>
      <c r="GO165" s="168"/>
      <c r="GP165" s="168"/>
      <c r="GQ165" s="168"/>
      <c r="GR165" s="168"/>
      <c r="GS165" s="168"/>
      <c r="GT165" s="168"/>
      <c r="GU165" s="168"/>
      <c r="GV165" s="168"/>
      <c r="GW165" s="168"/>
      <c r="GX165" s="168"/>
      <c r="GY165" s="168"/>
      <c r="GZ165" s="168"/>
      <c r="HA165" s="168"/>
      <c r="HB165" s="168"/>
      <c r="HC165" s="168"/>
      <c r="HD165" s="168"/>
      <c r="HE165" s="168"/>
      <c r="HF165" s="168"/>
      <c r="HG165" s="168"/>
      <c r="HH165" s="168"/>
      <c r="HI165" s="162"/>
      <c r="HJ165" s="162"/>
      <c r="HK165" s="162"/>
      <c r="HL165" s="162"/>
      <c r="HM165" s="162"/>
      <c r="HN165" s="162"/>
      <c r="HO165" s="162"/>
      <c r="HP165" s="162"/>
      <c r="HQ165" s="162"/>
      <c r="HR165" s="162"/>
      <c r="HS165" s="162"/>
      <c r="HT165" s="162"/>
      <c r="HU165" s="162"/>
      <c r="HV165" s="162"/>
      <c r="HW165" s="162"/>
      <c r="HX165" s="162"/>
      <c r="HY165" s="162"/>
      <c r="HZ165" s="162"/>
      <c r="IA165" s="162"/>
      <c r="IB165" s="162"/>
      <c r="IC165" s="162"/>
      <c r="ID165" s="162"/>
      <c r="IE165" s="162"/>
      <c r="IF165" s="162"/>
      <c r="IG165" s="162"/>
      <c r="IH165" s="162"/>
      <c r="II165" s="162"/>
      <c r="IJ165" s="162"/>
      <c r="IK165" s="162"/>
      <c r="IL165" s="162"/>
      <c r="IM165" s="162"/>
      <c r="IN165" s="162"/>
      <c r="IO165" s="162"/>
      <c r="IP165" s="162"/>
      <c r="IQ165" s="162"/>
      <c r="IR165" s="162"/>
      <c r="IS165" s="162"/>
      <c r="IT165" s="162"/>
      <c r="IU165" s="162"/>
      <c r="IV165" s="162"/>
    </row>
    <row r="166" spans="1:256" s="168" customFormat="1" x14ac:dyDescent="0.2">
      <c r="A166" s="869"/>
      <c r="B166" s="923"/>
      <c r="C166" s="923"/>
      <c r="D166" s="923"/>
      <c r="E166" s="923"/>
      <c r="F166" s="923"/>
      <c r="G166" s="923"/>
      <c r="H166" s="923"/>
      <c r="I166" s="923"/>
      <c r="J166" s="923"/>
      <c r="K166" s="923"/>
      <c r="L166" s="923"/>
      <c r="M166" s="923"/>
      <c r="N166" s="923"/>
      <c r="O166" s="923"/>
      <c r="P166" s="923"/>
      <c r="Q166" s="912"/>
      <c r="R166" s="913"/>
      <c r="S166" s="167"/>
      <c r="W166" s="206" t="s">
        <v>70</v>
      </c>
      <c r="AE166" s="191"/>
      <c r="AF166" s="191"/>
      <c r="AG166" s="192">
        <f>$M77</f>
        <v>30.5</v>
      </c>
      <c r="AH166" s="244">
        <f>IF(AC103=0,0,(AG166/AC103*100))</f>
        <v>6.1</v>
      </c>
      <c r="AI166" s="244">
        <f>IF(AC104=0,0,(AG166/AC104*100))</f>
        <v>6.1</v>
      </c>
      <c r="AJ166" s="244">
        <f>IF(AC105=0,0,(AG166/AC105*100))</f>
        <v>6.1</v>
      </c>
      <c r="AM166" s="206" t="s">
        <v>70</v>
      </c>
      <c r="AU166" s="191"/>
      <c r="AV166" s="191"/>
      <c r="AW166" s="192">
        <f>$M77</f>
        <v>30.5</v>
      </c>
      <c r="AX166" s="244">
        <f>IF(AS103=0,0,(AW166/AS103*100))</f>
        <v>5.8095238095238093</v>
      </c>
      <c r="AY166" s="244">
        <f>IF(AS104=0,0,(AW166/AS104*100))</f>
        <v>5.8095238095238093</v>
      </c>
      <c r="AZ166" s="244">
        <f>IF(AS105=0,0,(AW166/AS105*100))</f>
        <v>5.8095238095238093</v>
      </c>
      <c r="BC166" s="206" t="s">
        <v>70</v>
      </c>
      <c r="BK166" s="191"/>
      <c r="BL166" s="191"/>
      <c r="BM166" s="192">
        <f>$M77</f>
        <v>30.5</v>
      </c>
      <c r="BN166" s="244">
        <f>IF(BI103=0,0,(BM166/BI103*100))</f>
        <v>5.5454545454545459</v>
      </c>
      <c r="BO166" s="244">
        <f>IF(BI104=0,0,(BM166/BI104*100))</f>
        <v>5.5454545454545459</v>
      </c>
      <c r="BP166" s="244">
        <f>IF(BI105=0,0,(BM166/BI105*100))</f>
        <v>5.5454545454545459</v>
      </c>
      <c r="BS166" s="206" t="s">
        <v>70</v>
      </c>
      <c r="CA166" s="191"/>
      <c r="CB166" s="191"/>
      <c r="CC166" s="192">
        <f>$M77</f>
        <v>30.5</v>
      </c>
      <c r="CD166" s="244">
        <f>IF(BY103=0,0,(CC166/BY103*100))</f>
        <v>5.304347826086957</v>
      </c>
      <c r="CE166" s="244">
        <f>IF(BY104=0,0,(CC166/BY104*100))</f>
        <v>5.304347826086957</v>
      </c>
      <c r="CF166" s="244">
        <f>IF(BY105=0,0,(CC166/BY105*100))</f>
        <v>5.304347826086957</v>
      </c>
      <c r="CI166" s="206" t="s">
        <v>70</v>
      </c>
      <c r="CQ166" s="191"/>
      <c r="CR166" s="191"/>
      <c r="CS166" s="192">
        <f>$M77</f>
        <v>30.5</v>
      </c>
      <c r="CT166" s="244">
        <f>IF(CO103=0,0,(CS166/CO103*100))</f>
        <v>5.083333333333333</v>
      </c>
      <c r="CU166" s="244">
        <f>IF(CO104=0,0,(CS166/CO104*100))</f>
        <v>5.083333333333333</v>
      </c>
      <c r="CV166" s="244">
        <f>IF(CO105=0,0,(CS166/CO105*100))</f>
        <v>5.083333333333333</v>
      </c>
      <c r="CY166" s="206" t="s">
        <v>70</v>
      </c>
      <c r="DG166" s="191"/>
      <c r="DH166" s="191"/>
      <c r="DI166" s="192">
        <f>$M77</f>
        <v>30.5</v>
      </c>
      <c r="DJ166" s="244">
        <f>IF(DE103=0,0,(DI166/DE103*100))</f>
        <v>4.88</v>
      </c>
      <c r="DK166" s="244">
        <f>IF(DE104=0,0,(DI166/DE104*100))</f>
        <v>4.88</v>
      </c>
      <c r="DL166" s="244">
        <f>IF(DE105=0,0,(DI166/DE105*100))</f>
        <v>4.88</v>
      </c>
      <c r="DO166" s="206" t="s">
        <v>70</v>
      </c>
      <c r="DW166" s="191"/>
      <c r="DX166" s="191"/>
      <c r="DY166" s="192">
        <f>$M77</f>
        <v>30.5</v>
      </c>
      <c r="DZ166" s="244">
        <f>IF(DU103=0,0,(DY166/DU103*100))</f>
        <v>4.6923076923076925</v>
      </c>
      <c r="EA166" s="244">
        <f>IF(DU104=0,0,(DY166/DU104*100))</f>
        <v>4.6923076923076925</v>
      </c>
      <c r="EB166" s="244">
        <f>IF(DU105=0,0,(DY166/DU105*100))</f>
        <v>4.6923076923076925</v>
      </c>
      <c r="EE166" s="206" t="s">
        <v>70</v>
      </c>
      <c r="EM166" s="191"/>
      <c r="EN166" s="191"/>
      <c r="EO166" s="192">
        <f>$M77</f>
        <v>30.5</v>
      </c>
      <c r="EP166" s="244">
        <f>IF(EK103=0,0,(EO166/EK103*100))</f>
        <v>4.5185185185185182</v>
      </c>
      <c r="EQ166" s="244">
        <f>IF(EK104=0,0,(EO166/EK104*100))</f>
        <v>4.5185185185185182</v>
      </c>
      <c r="ER166" s="244">
        <f>IF(EK105=0,0,(EO166/EK105*100))</f>
        <v>4.5185185185185182</v>
      </c>
      <c r="EU166" s="206" t="s">
        <v>70</v>
      </c>
      <c r="FC166" s="191"/>
      <c r="FD166" s="191"/>
      <c r="FE166" s="192">
        <f>$M77</f>
        <v>30.5</v>
      </c>
      <c r="FF166" s="244">
        <f>IF(FA103=0,0,(FE166/FA103*100))</f>
        <v>4.3571428571428577</v>
      </c>
      <c r="FG166" s="244">
        <f>IF(FA104=0,0,(FE166/FA104*100))</f>
        <v>4.3571428571428577</v>
      </c>
      <c r="FH166" s="244">
        <f>IF(FA105=0,0,(FE166/FA105*100))</f>
        <v>4.3571428571428577</v>
      </c>
      <c r="HI166" s="162"/>
      <c r="HJ166" s="162"/>
      <c r="HK166" s="162"/>
      <c r="HL166" s="162"/>
      <c r="HM166" s="162"/>
      <c r="HN166" s="162"/>
      <c r="HO166" s="162"/>
      <c r="HP166" s="162"/>
      <c r="HQ166" s="162"/>
      <c r="HR166" s="162"/>
      <c r="HS166" s="162"/>
      <c r="HT166" s="162"/>
      <c r="HU166" s="162"/>
      <c r="HV166" s="162"/>
      <c r="HW166" s="162"/>
      <c r="HX166" s="162"/>
      <c r="HY166" s="162"/>
      <c r="HZ166" s="162"/>
      <c r="IA166" s="162"/>
      <c r="IB166" s="162"/>
      <c r="IC166" s="162"/>
      <c r="ID166" s="162"/>
      <c r="IE166" s="162"/>
      <c r="IF166" s="162"/>
      <c r="IG166" s="162"/>
      <c r="IH166" s="162"/>
      <c r="II166" s="162"/>
      <c r="IJ166" s="162"/>
      <c r="IK166" s="162"/>
      <c r="IL166" s="162"/>
      <c r="IM166" s="162"/>
      <c r="IN166" s="162"/>
      <c r="IO166" s="162"/>
      <c r="IP166" s="162"/>
      <c r="IQ166" s="162"/>
      <c r="IR166" s="162"/>
      <c r="IS166" s="162"/>
      <c r="IT166" s="162"/>
      <c r="IU166" s="162"/>
      <c r="IV166" s="162"/>
    </row>
    <row r="167" spans="1:256" s="168" customFormat="1" x14ac:dyDescent="0.2">
      <c r="A167" s="869"/>
      <c r="B167" s="923"/>
      <c r="C167" s="923"/>
      <c r="D167" s="923"/>
      <c r="E167" s="923"/>
      <c r="F167" s="923"/>
      <c r="G167" s="923"/>
      <c r="H167" s="923"/>
      <c r="I167" s="923"/>
      <c r="J167" s="923"/>
      <c r="K167" s="923"/>
      <c r="L167" s="923"/>
      <c r="M167" s="923"/>
      <c r="N167" s="923"/>
      <c r="O167" s="923"/>
      <c r="P167" s="923"/>
      <c r="Q167" s="912"/>
      <c r="R167" s="913"/>
      <c r="S167" s="167"/>
      <c r="W167" s="206" t="s">
        <v>171</v>
      </c>
      <c r="AE167" s="191"/>
      <c r="AF167" s="191"/>
      <c r="AG167" s="192">
        <f>$M78</f>
        <v>55</v>
      </c>
      <c r="AH167" s="244">
        <f>IF(AC103=0,0,(AG167/AC103*100))</f>
        <v>11</v>
      </c>
      <c r="AI167" s="244">
        <f>IF(AC104=0,0,(AG167/AC104*100))</f>
        <v>11</v>
      </c>
      <c r="AJ167" s="244">
        <f>IF(AC105=0,0,(AG167/AC105*100))</f>
        <v>11</v>
      </c>
      <c r="AM167" s="206" t="s">
        <v>171</v>
      </c>
      <c r="AU167" s="191"/>
      <c r="AV167" s="191"/>
      <c r="AW167" s="192">
        <f>$M78</f>
        <v>55</v>
      </c>
      <c r="AX167" s="244">
        <f>IF(AS103=0,0,(AW167/AS103*100))</f>
        <v>10.476190476190476</v>
      </c>
      <c r="AY167" s="244">
        <f>IF(AS104=0,0,(AW167/AS104*100))</f>
        <v>10.476190476190476</v>
      </c>
      <c r="AZ167" s="244">
        <f>IF(AS105=0,0,(AW167/AS105*100))</f>
        <v>10.476190476190476</v>
      </c>
      <c r="BC167" s="206" t="s">
        <v>171</v>
      </c>
      <c r="BK167" s="191"/>
      <c r="BL167" s="191"/>
      <c r="BM167" s="192">
        <f>$M78</f>
        <v>55</v>
      </c>
      <c r="BN167" s="244">
        <f>IF(BI103=0,0,(BM167/BI103*100))</f>
        <v>10</v>
      </c>
      <c r="BO167" s="244">
        <f>IF(BI104=0,0,(BM167/BI104*100))</f>
        <v>10</v>
      </c>
      <c r="BP167" s="244">
        <f>IF(BI105=0,0,(BM167/BI105*100))</f>
        <v>10</v>
      </c>
      <c r="BS167" s="206" t="s">
        <v>171</v>
      </c>
      <c r="CA167" s="191"/>
      <c r="CB167" s="191"/>
      <c r="CC167" s="192">
        <f>$M78</f>
        <v>55</v>
      </c>
      <c r="CD167" s="244">
        <f>IF(BY103=0,0,(CC167/BY103*100))</f>
        <v>9.5652173913043477</v>
      </c>
      <c r="CE167" s="244">
        <f>IF(BY104=0,0,(CC167/BY104*100))</f>
        <v>9.5652173913043477</v>
      </c>
      <c r="CF167" s="244">
        <f>IF(BY105=0,0,(CC167/BY105*100))</f>
        <v>9.5652173913043477</v>
      </c>
      <c r="CI167" s="206" t="s">
        <v>171</v>
      </c>
      <c r="CQ167" s="191"/>
      <c r="CR167" s="191"/>
      <c r="CS167" s="192">
        <f>$M78</f>
        <v>55</v>
      </c>
      <c r="CT167" s="244">
        <f>IF(CO103=0,0,(CS167/CO103*100))</f>
        <v>9.1666666666666661</v>
      </c>
      <c r="CU167" s="244">
        <f>IF(CO104=0,0,(CS167/CO104*100))</f>
        <v>9.1666666666666661</v>
      </c>
      <c r="CV167" s="244">
        <f>IF(CO105=0,0,(CS167/CO105*100))</f>
        <v>9.1666666666666661</v>
      </c>
      <c r="CY167" s="206" t="s">
        <v>171</v>
      </c>
      <c r="DG167" s="191"/>
      <c r="DH167" s="191"/>
      <c r="DI167" s="192">
        <f>$M78</f>
        <v>55</v>
      </c>
      <c r="DJ167" s="244">
        <f>IF(DE103=0,0,(DI167/DE103*100))</f>
        <v>8.7999999999999989</v>
      </c>
      <c r="DK167" s="244">
        <f>IF(DE104=0,0,(DI167/DE104*100))</f>
        <v>8.7999999999999989</v>
      </c>
      <c r="DL167" s="244">
        <f>IF(DE105=0,0,(DI167/DE105*100))</f>
        <v>8.7999999999999989</v>
      </c>
      <c r="DO167" s="206" t="s">
        <v>171</v>
      </c>
      <c r="DW167" s="191"/>
      <c r="DX167" s="191"/>
      <c r="DY167" s="192">
        <f>$M78</f>
        <v>55</v>
      </c>
      <c r="DZ167" s="244">
        <f>IF(DU103=0,0,(DY167/DU103*100))</f>
        <v>8.4615384615384617</v>
      </c>
      <c r="EA167" s="244">
        <f>IF(DU104=0,0,(DY167/DU104*100))</f>
        <v>8.4615384615384617</v>
      </c>
      <c r="EB167" s="244">
        <f>IF(DU105=0,0,(DY167/DU105*100))</f>
        <v>8.4615384615384617</v>
      </c>
      <c r="EE167" s="206" t="s">
        <v>171</v>
      </c>
      <c r="EM167" s="191"/>
      <c r="EN167" s="191"/>
      <c r="EO167" s="192">
        <f>$M78</f>
        <v>55</v>
      </c>
      <c r="EP167" s="244">
        <f>IF(EK103=0,0,(EO167/EK103*100))</f>
        <v>8.1481481481481488</v>
      </c>
      <c r="EQ167" s="244">
        <f>IF(EK104=0,0,(EO167/EK104*100))</f>
        <v>8.1481481481481488</v>
      </c>
      <c r="ER167" s="244">
        <f>IF(EK105=0,0,(EO167/EK105*100))</f>
        <v>8.1481481481481488</v>
      </c>
      <c r="EU167" s="206" t="s">
        <v>171</v>
      </c>
      <c r="FC167" s="191"/>
      <c r="FD167" s="191"/>
      <c r="FE167" s="192">
        <f>$M78</f>
        <v>55</v>
      </c>
      <c r="FF167" s="244">
        <f>IF(FA103=0,0,(FE167/FA103*100))</f>
        <v>7.8571428571428568</v>
      </c>
      <c r="FG167" s="244">
        <f>IF(FA104=0,0,(FE167/FA104*100))</f>
        <v>7.8571428571428568</v>
      </c>
      <c r="FH167" s="244">
        <f>IF(FA105=0,0,(FE167/FA105*100))</f>
        <v>7.8571428571428568</v>
      </c>
      <c r="HI167" s="162"/>
      <c r="HJ167" s="162"/>
      <c r="HK167" s="162"/>
      <c r="HL167" s="162"/>
      <c r="HM167" s="162"/>
      <c r="HN167" s="162"/>
      <c r="HO167" s="162"/>
      <c r="HP167" s="162"/>
      <c r="HQ167" s="162"/>
      <c r="HR167" s="162"/>
      <c r="HS167" s="162"/>
      <c r="HT167" s="162"/>
      <c r="HU167" s="162"/>
      <c r="HV167" s="162"/>
      <c r="HW167" s="162"/>
      <c r="HX167" s="162"/>
      <c r="HY167" s="162"/>
      <c r="HZ167" s="162"/>
      <c r="IA167" s="162"/>
      <c r="IB167" s="162"/>
      <c r="IC167" s="162"/>
      <c r="ID167" s="162"/>
      <c r="IE167" s="162"/>
      <c r="IF167" s="162"/>
      <c r="IG167" s="162"/>
      <c r="IH167" s="162"/>
      <c r="II167" s="162"/>
      <c r="IJ167" s="162"/>
      <c r="IK167" s="162"/>
      <c r="IL167" s="162"/>
      <c r="IM167" s="162"/>
      <c r="IN167" s="162"/>
      <c r="IO167" s="162"/>
      <c r="IP167" s="162"/>
      <c r="IQ167" s="162"/>
      <c r="IR167" s="162"/>
      <c r="IS167" s="162"/>
      <c r="IT167" s="162"/>
      <c r="IU167" s="162"/>
      <c r="IV167" s="162"/>
    </row>
    <row r="168" spans="1:256" s="168" customFormat="1" x14ac:dyDescent="0.2">
      <c r="A168" s="869"/>
      <c r="B168" s="923"/>
      <c r="C168" s="923"/>
      <c r="D168" s="923"/>
      <c r="E168" s="923"/>
      <c r="F168" s="923"/>
      <c r="G168" s="923"/>
      <c r="H168" s="923"/>
      <c r="I168" s="923"/>
      <c r="J168" s="923"/>
      <c r="K168" s="923"/>
      <c r="L168" s="923"/>
      <c r="M168" s="923"/>
      <c r="N168" s="923"/>
      <c r="O168" s="923"/>
      <c r="P168" s="923"/>
      <c r="Q168" s="912"/>
      <c r="R168" s="913"/>
      <c r="S168" s="167"/>
      <c r="W168" s="206" t="s">
        <v>431</v>
      </c>
      <c r="AE168" s="191"/>
      <c r="AF168" s="191"/>
      <c r="AG168" s="192">
        <f>$M79</f>
        <v>268</v>
      </c>
      <c r="AH168" s="244">
        <f>IF(AC103=0,0,(AG168/AC103*100))</f>
        <v>53.6</v>
      </c>
      <c r="AI168" s="244">
        <f>IF(AC104=0,0,(AG168/AC104*100))</f>
        <v>53.6</v>
      </c>
      <c r="AJ168" s="244">
        <f>IF(AC105=0,0,(AG168/AC105*100))</f>
        <v>53.6</v>
      </c>
      <c r="AM168" s="206" t="s">
        <v>431</v>
      </c>
      <c r="AU168" s="191"/>
      <c r="AV168" s="191"/>
      <c r="AW168" s="192">
        <f>$M79</f>
        <v>268</v>
      </c>
      <c r="AX168" s="244">
        <f>IF(AS103=0,0,(AW168/AS103*100))</f>
        <v>51.047619047619051</v>
      </c>
      <c r="AY168" s="244">
        <f>IF(AS104=0,0,(AW168/AS104*100))</f>
        <v>51.047619047619051</v>
      </c>
      <c r="AZ168" s="244">
        <f>IF(AS105=0,0,(AW168/AS105*100))</f>
        <v>51.047619047619051</v>
      </c>
      <c r="BC168" s="206" t="s">
        <v>431</v>
      </c>
      <c r="BK168" s="191"/>
      <c r="BL168" s="191"/>
      <c r="BM168" s="192">
        <f>$M79</f>
        <v>268</v>
      </c>
      <c r="BN168" s="244">
        <f>IF(BI103=0,0,(BM168/BI103*100))</f>
        <v>48.727272727272727</v>
      </c>
      <c r="BO168" s="244">
        <f>IF(BI104=0,0,(BM168/BI104*100))</f>
        <v>48.727272727272727</v>
      </c>
      <c r="BP168" s="244">
        <f>IF(BI105=0,0,(BM168/BI105*100))</f>
        <v>48.727272727272727</v>
      </c>
      <c r="BS168" s="206" t="s">
        <v>431</v>
      </c>
      <c r="CA168" s="191"/>
      <c r="CB168" s="191"/>
      <c r="CC168" s="192">
        <f>$M79</f>
        <v>268</v>
      </c>
      <c r="CD168" s="244">
        <f>IF(BY103=0,0,(CC168/BY103*100))</f>
        <v>46.608695652173914</v>
      </c>
      <c r="CE168" s="244">
        <f>IF(BY104=0,0,(CC168/BY104*100))</f>
        <v>46.608695652173914</v>
      </c>
      <c r="CF168" s="244">
        <f>IF(BY105=0,0,(CC168/BY105*100))</f>
        <v>46.608695652173914</v>
      </c>
      <c r="CI168" s="206" t="s">
        <v>431</v>
      </c>
      <c r="CQ168" s="191"/>
      <c r="CR168" s="191"/>
      <c r="CS168" s="192">
        <f>$M79</f>
        <v>268</v>
      </c>
      <c r="CT168" s="244">
        <f>IF(CO103=0,0,(CS168/CO103*100))</f>
        <v>44.666666666666664</v>
      </c>
      <c r="CU168" s="244">
        <f>IF(CO104=0,0,(CS168/CO104*100))</f>
        <v>44.666666666666664</v>
      </c>
      <c r="CV168" s="244">
        <f>IF(CO105=0,0,(CS168/CO105*100))</f>
        <v>44.666666666666664</v>
      </c>
      <c r="CY168" s="206" t="s">
        <v>431</v>
      </c>
      <c r="DG168" s="191"/>
      <c r="DH168" s="191"/>
      <c r="DI168" s="192">
        <f>$M79</f>
        <v>268</v>
      </c>
      <c r="DJ168" s="244">
        <f>IF(DE103=0,0,(DI168/DE103*100))</f>
        <v>42.88</v>
      </c>
      <c r="DK168" s="244">
        <f>IF(DE104=0,0,(DI168/DE104*100))</f>
        <v>42.88</v>
      </c>
      <c r="DL168" s="244">
        <f>IF(DE105=0,0,(DI168/DE105*100))</f>
        <v>42.88</v>
      </c>
      <c r="DO168" s="206" t="s">
        <v>431</v>
      </c>
      <c r="DW168" s="191"/>
      <c r="DX168" s="191"/>
      <c r="DY168" s="192">
        <f>$M79</f>
        <v>268</v>
      </c>
      <c r="DZ168" s="244">
        <f>IF(DU103=0,0,(DY168/DU103*100))</f>
        <v>41.230769230769234</v>
      </c>
      <c r="EA168" s="244">
        <f>IF(DU104=0,0,(DY168/DU104*100))</f>
        <v>41.230769230769234</v>
      </c>
      <c r="EB168" s="244">
        <f>IF(DU105=0,0,(DY168/DU105*100))</f>
        <v>41.230769230769234</v>
      </c>
      <c r="EE168" s="206" t="s">
        <v>431</v>
      </c>
      <c r="EM168" s="191"/>
      <c r="EN168" s="191"/>
      <c r="EO168" s="192">
        <f>$M79</f>
        <v>268</v>
      </c>
      <c r="EP168" s="244">
        <f>IF(EK103=0,0,(EO168/EK103*100))</f>
        <v>39.703703703703702</v>
      </c>
      <c r="EQ168" s="244">
        <f>IF(EK104=0,0,(EO168/EK104*100))</f>
        <v>39.703703703703702</v>
      </c>
      <c r="ER168" s="244">
        <f>IF(EK105=0,0,(EO168/EK105*100))</f>
        <v>39.703703703703702</v>
      </c>
      <c r="EU168" s="206" t="s">
        <v>431</v>
      </c>
      <c r="FC168" s="191"/>
      <c r="FD168" s="191"/>
      <c r="FE168" s="192">
        <f>$M79</f>
        <v>268</v>
      </c>
      <c r="FF168" s="244">
        <f>IF(FA103=0,0,(FE168/FA103*100))</f>
        <v>38.285714285714285</v>
      </c>
      <c r="FG168" s="244">
        <f>IF(FA104=0,0,(FE168/FA104*100))</f>
        <v>38.285714285714285</v>
      </c>
      <c r="FH168" s="244">
        <f>IF(FA105=0,0,(FE168/FA105*100))</f>
        <v>38.285714285714285</v>
      </c>
      <c r="HI168" s="162"/>
      <c r="HJ168" s="162"/>
      <c r="HK168" s="162"/>
      <c r="HL168" s="162"/>
      <c r="HM168" s="162"/>
      <c r="HN168" s="162"/>
      <c r="HO168" s="162"/>
      <c r="HP168" s="162"/>
      <c r="HQ168" s="162"/>
      <c r="HR168" s="162"/>
      <c r="HS168" s="162"/>
      <c r="HT168" s="162"/>
      <c r="HU168" s="162"/>
      <c r="HV168" s="162"/>
      <c r="HW168" s="162"/>
      <c r="HX168" s="162"/>
      <c r="HY168" s="162"/>
      <c r="HZ168" s="162"/>
      <c r="IA168" s="162"/>
      <c r="IB168" s="162"/>
      <c r="IC168" s="162"/>
      <c r="ID168" s="162"/>
      <c r="IE168" s="162"/>
      <c r="IF168" s="162"/>
      <c r="IG168" s="162"/>
      <c r="IH168" s="162"/>
      <c r="II168" s="162"/>
      <c r="IJ168" s="162"/>
      <c r="IK168" s="162"/>
      <c r="IL168" s="162"/>
      <c r="IM168" s="162"/>
      <c r="IN168" s="162"/>
      <c r="IO168" s="162"/>
      <c r="IP168" s="162"/>
      <c r="IQ168" s="162"/>
      <c r="IR168" s="162"/>
      <c r="IS168" s="162"/>
      <c r="IT168" s="162"/>
      <c r="IU168" s="162"/>
      <c r="IV168" s="162"/>
    </row>
    <row r="169" spans="1:256" s="168" customFormat="1" x14ac:dyDescent="0.2">
      <c r="A169" s="869"/>
      <c r="B169" s="923"/>
      <c r="C169" s="923"/>
      <c r="D169" s="923"/>
      <c r="E169" s="923"/>
      <c r="F169" s="923"/>
      <c r="G169" s="923"/>
      <c r="H169" s="923"/>
      <c r="I169" s="923"/>
      <c r="J169" s="923"/>
      <c r="K169" s="923"/>
      <c r="L169" s="923"/>
      <c r="M169" s="923"/>
      <c r="N169" s="923"/>
      <c r="O169" s="923"/>
      <c r="P169" s="923"/>
      <c r="Q169" s="912"/>
      <c r="R169" s="913"/>
      <c r="S169" s="167"/>
      <c r="W169" s="206" t="s">
        <v>432</v>
      </c>
      <c r="AE169" s="191"/>
      <c r="AF169" s="191"/>
      <c r="AG169" s="192">
        <f>$M80</f>
        <v>8.3333333333333339</v>
      </c>
      <c r="AH169" s="244">
        <f>IF(AC103=0,0,(AG169/AC103*100))</f>
        <v>1.6666666666666667</v>
      </c>
      <c r="AI169" s="244">
        <f>IF(AC104=0,0,(AG169/AC104*100))</f>
        <v>1.6666666666666667</v>
      </c>
      <c r="AJ169" s="244">
        <f>IF(AC105=0,0,(AG169/AC105*100))</f>
        <v>1.6666666666666667</v>
      </c>
      <c r="AM169" s="206" t="s">
        <v>432</v>
      </c>
      <c r="AU169" s="191"/>
      <c r="AV169" s="191"/>
      <c r="AW169" s="192">
        <f>$M80</f>
        <v>8.3333333333333339</v>
      </c>
      <c r="AX169" s="244">
        <f>IF(AS103=0,0,(AW169/AS103*100))</f>
        <v>1.5873015873015877</v>
      </c>
      <c r="AY169" s="244">
        <f>IF(AS104=0,0,(AW169/AS104*100))</f>
        <v>1.5873015873015877</v>
      </c>
      <c r="AZ169" s="244">
        <f>IF(AS105=0,0,(AW169/AS105*100))</f>
        <v>1.5873015873015877</v>
      </c>
      <c r="BC169" s="206" t="s">
        <v>432</v>
      </c>
      <c r="BK169" s="191"/>
      <c r="BL169" s="191"/>
      <c r="BM169" s="192">
        <f>$M80</f>
        <v>8.3333333333333339</v>
      </c>
      <c r="BN169" s="244">
        <f>IF(BI103=0,0,(BM169/BI103*100))</f>
        <v>1.5151515151515151</v>
      </c>
      <c r="BO169" s="244">
        <f>IF(BI104=0,0,(BM169/BI104*100))</f>
        <v>1.5151515151515151</v>
      </c>
      <c r="BP169" s="244">
        <f>IF(BI105=0,0,(BM169/BI105*100))</f>
        <v>1.5151515151515151</v>
      </c>
      <c r="BS169" s="206" t="s">
        <v>432</v>
      </c>
      <c r="CA169" s="191"/>
      <c r="CB169" s="191"/>
      <c r="CC169" s="192">
        <f>$M80</f>
        <v>8.3333333333333339</v>
      </c>
      <c r="CD169" s="244">
        <f>IF(BY103=0,0,(CC169/BY103*100))</f>
        <v>1.4492753623188406</v>
      </c>
      <c r="CE169" s="244">
        <f>IF(BY104=0,0,(CC169/BY104*100))</f>
        <v>1.4492753623188406</v>
      </c>
      <c r="CF169" s="244">
        <f>IF(BY105=0,0,(CC169/BY105*100))</f>
        <v>1.4492753623188406</v>
      </c>
      <c r="CI169" s="206" t="s">
        <v>432</v>
      </c>
      <c r="CQ169" s="191"/>
      <c r="CR169" s="191"/>
      <c r="CS169" s="192">
        <f>$M80</f>
        <v>8.3333333333333339</v>
      </c>
      <c r="CT169" s="244">
        <f>IF(CO103=0,0,(CS169/CO103*100))</f>
        <v>1.3888888888888891</v>
      </c>
      <c r="CU169" s="244">
        <f>IF(CO104=0,0,(CS169/CO104*100))</f>
        <v>1.3888888888888891</v>
      </c>
      <c r="CV169" s="244">
        <f>IF(CO105=0,0,(CS169/CO105*100))</f>
        <v>1.3888888888888891</v>
      </c>
      <c r="CY169" s="206" t="s">
        <v>432</v>
      </c>
      <c r="DG169" s="191"/>
      <c r="DH169" s="191"/>
      <c r="DI169" s="192">
        <f>$M80</f>
        <v>8.3333333333333339</v>
      </c>
      <c r="DJ169" s="244">
        <f>IF(DE103=0,0,(DI169/DE103*100))</f>
        <v>1.3333333333333335</v>
      </c>
      <c r="DK169" s="244">
        <f>IF(DE104=0,0,(DI169/DE104*100))</f>
        <v>1.3333333333333335</v>
      </c>
      <c r="DL169" s="244">
        <f>IF(DE105=0,0,(DI169/DE105*100))</f>
        <v>1.3333333333333335</v>
      </c>
      <c r="DO169" s="206" t="s">
        <v>432</v>
      </c>
      <c r="DW169" s="191"/>
      <c r="DX169" s="191"/>
      <c r="DY169" s="192">
        <f>$M80</f>
        <v>8.3333333333333339</v>
      </c>
      <c r="DZ169" s="244">
        <f>IF(DU103=0,0,(DY169/DU103*100))</f>
        <v>1.2820512820512822</v>
      </c>
      <c r="EA169" s="244">
        <f>IF(DU104=0,0,(DY169/DU104*100))</f>
        <v>1.2820512820512822</v>
      </c>
      <c r="EB169" s="244">
        <f>IF(DU105=0,0,(DY169/DU105*100))</f>
        <v>1.2820512820512822</v>
      </c>
      <c r="EE169" s="206" t="s">
        <v>432</v>
      </c>
      <c r="EM169" s="191"/>
      <c r="EN169" s="191"/>
      <c r="EO169" s="192">
        <f>$M80</f>
        <v>8.3333333333333339</v>
      </c>
      <c r="EP169" s="244">
        <f>IF(EK103=0,0,(EO169/EK103*100))</f>
        <v>1.2345679012345681</v>
      </c>
      <c r="EQ169" s="244">
        <f>IF(EK104=0,0,(EO169/EK104*100))</f>
        <v>1.2345679012345681</v>
      </c>
      <c r="ER169" s="244">
        <f>IF(EK105=0,0,(EO169/EK105*100))</f>
        <v>1.2345679012345681</v>
      </c>
      <c r="EU169" s="206" t="s">
        <v>432</v>
      </c>
      <c r="FC169" s="191"/>
      <c r="FD169" s="191"/>
      <c r="FE169" s="192">
        <f>$M80</f>
        <v>8.3333333333333339</v>
      </c>
      <c r="FF169" s="244">
        <f>IF(FA103=0,0,(FE169/FA103*100))</f>
        <v>1.1904761904761907</v>
      </c>
      <c r="FG169" s="244">
        <f>IF(FA104=0,0,(FE169/FA104*100))</f>
        <v>1.1904761904761907</v>
      </c>
      <c r="FH169" s="244">
        <f>IF(FA105=0,0,(FE169/FA105*100))</f>
        <v>1.1904761904761907</v>
      </c>
      <c r="HI169" s="162"/>
      <c r="HJ169" s="162"/>
      <c r="HK169" s="162"/>
      <c r="HL169" s="162"/>
      <c r="HM169" s="162"/>
      <c r="HN169" s="162"/>
      <c r="HO169" s="162"/>
      <c r="HP169" s="162"/>
      <c r="HQ169" s="162"/>
      <c r="HR169" s="162"/>
      <c r="HS169" s="162"/>
      <c r="HT169" s="162"/>
      <c r="HU169" s="162"/>
      <c r="HV169" s="162"/>
      <c r="HW169" s="162"/>
      <c r="HX169" s="162"/>
      <c r="HY169" s="162"/>
      <c r="HZ169" s="162"/>
      <c r="IA169" s="162"/>
      <c r="IB169" s="162"/>
      <c r="IC169" s="162"/>
      <c r="ID169" s="162"/>
      <c r="IE169" s="162"/>
      <c r="IF169" s="162"/>
      <c r="IG169" s="162"/>
      <c r="IH169" s="162"/>
      <c r="II169" s="162"/>
      <c r="IJ169" s="162"/>
      <c r="IK169" s="162"/>
      <c r="IL169" s="162"/>
      <c r="IM169" s="162"/>
      <c r="IN169" s="162"/>
      <c r="IO169" s="162"/>
      <c r="IP169" s="162"/>
      <c r="IQ169" s="162"/>
      <c r="IR169" s="162"/>
      <c r="IS169" s="162"/>
      <c r="IT169" s="162"/>
      <c r="IU169" s="162"/>
      <c r="IV169" s="162"/>
    </row>
    <row r="170" spans="1:256" s="168" customFormat="1" x14ac:dyDescent="0.2">
      <c r="A170" s="869"/>
      <c r="B170" s="923"/>
      <c r="C170" s="923"/>
      <c r="D170" s="923"/>
      <c r="E170" s="923"/>
      <c r="F170" s="923"/>
      <c r="G170" s="923"/>
      <c r="H170" s="923"/>
      <c r="I170" s="923"/>
      <c r="J170" s="923"/>
      <c r="K170" s="923"/>
      <c r="L170" s="923"/>
      <c r="M170" s="923"/>
      <c r="N170" s="923"/>
      <c r="O170" s="923"/>
      <c r="P170" s="923"/>
      <c r="Q170" s="912"/>
      <c r="R170" s="913"/>
      <c r="S170" s="167"/>
      <c r="W170" s="206" t="s">
        <v>176</v>
      </c>
      <c r="AA170" s="250"/>
      <c r="AD170" s="272"/>
      <c r="AE170" s="274"/>
      <c r="AF170" s="191"/>
      <c r="AG170" s="192">
        <f>$M81</f>
        <v>0</v>
      </c>
      <c r="AH170" s="244">
        <f>$N81</f>
        <v>0</v>
      </c>
      <c r="AI170" s="244">
        <f>$N81</f>
        <v>0</v>
      </c>
      <c r="AJ170" s="244">
        <f>$N81</f>
        <v>0</v>
      </c>
      <c r="AM170" s="206" t="s">
        <v>176</v>
      </c>
      <c r="AQ170" s="250"/>
      <c r="AT170" s="272"/>
      <c r="AU170" s="274"/>
      <c r="AV170" s="191"/>
      <c r="AW170" s="192">
        <f>$M81</f>
        <v>0</v>
      </c>
      <c r="AX170" s="244">
        <f>$N81</f>
        <v>0</v>
      </c>
      <c r="AY170" s="244">
        <f>$N81</f>
        <v>0</v>
      </c>
      <c r="AZ170" s="244">
        <f>$N81</f>
        <v>0</v>
      </c>
      <c r="BC170" s="206" t="s">
        <v>176</v>
      </c>
      <c r="BG170" s="250"/>
      <c r="BJ170" s="272"/>
      <c r="BK170" s="274"/>
      <c r="BL170" s="191"/>
      <c r="BM170" s="192">
        <f>$M81</f>
        <v>0</v>
      </c>
      <c r="BN170" s="244">
        <f>$N81</f>
        <v>0</v>
      </c>
      <c r="BO170" s="244">
        <f>$N81</f>
        <v>0</v>
      </c>
      <c r="BP170" s="244">
        <f>$N81</f>
        <v>0</v>
      </c>
      <c r="BS170" s="206" t="s">
        <v>176</v>
      </c>
      <c r="BW170" s="250"/>
      <c r="BZ170" s="272"/>
      <c r="CA170" s="274"/>
      <c r="CB170" s="191"/>
      <c r="CC170" s="192">
        <f>$M81</f>
        <v>0</v>
      </c>
      <c r="CD170" s="244">
        <f>$N81</f>
        <v>0</v>
      </c>
      <c r="CE170" s="244">
        <f>$N81</f>
        <v>0</v>
      </c>
      <c r="CF170" s="244">
        <f>$N81</f>
        <v>0</v>
      </c>
      <c r="CI170" s="206" t="s">
        <v>176</v>
      </c>
      <c r="CM170" s="250"/>
      <c r="CP170" s="272"/>
      <c r="CQ170" s="274"/>
      <c r="CR170" s="191"/>
      <c r="CS170" s="192">
        <f>$M81</f>
        <v>0</v>
      </c>
      <c r="CT170" s="244">
        <f>$N81</f>
        <v>0</v>
      </c>
      <c r="CU170" s="244">
        <f>$N81</f>
        <v>0</v>
      </c>
      <c r="CV170" s="244">
        <f>$N81</f>
        <v>0</v>
      </c>
      <c r="CY170" s="206" t="s">
        <v>176</v>
      </c>
      <c r="DC170" s="250"/>
      <c r="DF170" s="272"/>
      <c r="DG170" s="274"/>
      <c r="DH170" s="191"/>
      <c r="DI170" s="192">
        <f>$M81</f>
        <v>0</v>
      </c>
      <c r="DJ170" s="244">
        <f>$N81</f>
        <v>0</v>
      </c>
      <c r="DK170" s="244">
        <f>$N81</f>
        <v>0</v>
      </c>
      <c r="DL170" s="244">
        <f>$N81</f>
        <v>0</v>
      </c>
      <c r="DO170" s="206" t="s">
        <v>176</v>
      </c>
      <c r="DS170" s="250"/>
      <c r="DV170" s="272"/>
      <c r="DW170" s="274"/>
      <c r="DX170" s="191"/>
      <c r="DY170" s="192">
        <f>$M81</f>
        <v>0</v>
      </c>
      <c r="DZ170" s="244">
        <f>$N81</f>
        <v>0</v>
      </c>
      <c r="EA170" s="244">
        <f>$N81</f>
        <v>0</v>
      </c>
      <c r="EB170" s="244">
        <f>$N81</f>
        <v>0</v>
      </c>
      <c r="EE170" s="206" t="s">
        <v>176</v>
      </c>
      <c r="EI170" s="250"/>
      <c r="EL170" s="272"/>
      <c r="EM170" s="274"/>
      <c r="EN170" s="191"/>
      <c r="EO170" s="192">
        <f>$M81</f>
        <v>0</v>
      </c>
      <c r="EP170" s="244">
        <f>$N81</f>
        <v>0</v>
      </c>
      <c r="EQ170" s="244">
        <f>$N81</f>
        <v>0</v>
      </c>
      <c r="ER170" s="244">
        <f>$N81</f>
        <v>0</v>
      </c>
      <c r="EU170" s="206" t="s">
        <v>176</v>
      </c>
      <c r="EY170" s="250"/>
      <c r="FB170" s="272"/>
      <c r="FC170" s="274"/>
      <c r="FD170" s="191"/>
      <c r="FE170" s="192">
        <f>$M81</f>
        <v>0</v>
      </c>
      <c r="FF170" s="244">
        <f>$N81</f>
        <v>0</v>
      </c>
      <c r="FG170" s="244">
        <f>$N81</f>
        <v>0</v>
      </c>
      <c r="FH170" s="244">
        <f>$N81</f>
        <v>0</v>
      </c>
      <c r="HI170" s="162"/>
      <c r="HJ170" s="162"/>
      <c r="HK170" s="162"/>
      <c r="HL170" s="162"/>
      <c r="HM170" s="162"/>
      <c r="HN170" s="162"/>
      <c r="HO170" s="162"/>
      <c r="HP170" s="162"/>
      <c r="HQ170" s="162"/>
      <c r="HR170" s="162"/>
      <c r="HS170" s="162"/>
      <c r="HT170" s="162"/>
      <c r="HU170" s="162"/>
      <c r="HV170" s="162"/>
      <c r="HW170" s="162"/>
      <c r="HX170" s="162"/>
      <c r="HY170" s="162"/>
      <c r="HZ170" s="162"/>
      <c r="IA170" s="162"/>
      <c r="IB170" s="162"/>
      <c r="IC170" s="162"/>
      <c r="ID170" s="162"/>
      <c r="IE170" s="162"/>
      <c r="IF170" s="162"/>
      <c r="IG170" s="162"/>
      <c r="IH170" s="162"/>
      <c r="II170" s="162"/>
      <c r="IJ170" s="162"/>
      <c r="IK170" s="162"/>
      <c r="IL170" s="162"/>
      <c r="IM170" s="162"/>
      <c r="IN170" s="162"/>
      <c r="IO170" s="162"/>
      <c r="IP170" s="162"/>
      <c r="IQ170" s="162"/>
      <c r="IR170" s="162"/>
      <c r="IS170" s="162"/>
      <c r="IT170" s="162"/>
      <c r="IU170" s="162"/>
      <c r="IV170" s="162"/>
    </row>
    <row r="171" spans="1:256" s="272" customFormat="1" ht="12.75" x14ac:dyDescent="0.2">
      <c r="A171" s="869"/>
      <c r="B171" s="923"/>
      <c r="C171" s="923"/>
      <c r="D171" s="923"/>
      <c r="E171" s="923"/>
      <c r="F171" s="923"/>
      <c r="G171" s="923"/>
      <c r="H171" s="923"/>
      <c r="I171" s="923"/>
      <c r="J171" s="923"/>
      <c r="K171" s="923"/>
      <c r="L171" s="923"/>
      <c r="M171" s="923"/>
      <c r="N171" s="923"/>
      <c r="O171" s="923"/>
      <c r="P171" s="923"/>
      <c r="Q171" s="912"/>
      <c r="R171" s="913"/>
      <c r="S171" s="167"/>
      <c r="T171" s="168"/>
      <c r="U171" s="168"/>
      <c r="V171" s="168"/>
      <c r="W171" s="271" t="s">
        <v>433</v>
      </c>
      <c r="Y171" s="307"/>
      <c r="AA171" s="307"/>
      <c r="AE171" s="274"/>
      <c r="AF171" s="274"/>
      <c r="AH171" s="281">
        <f>IF(AC103=0,0,(AG166+AG167+AG168+AG169+AG170)/AC103*100)</f>
        <v>72.366666666666674</v>
      </c>
      <c r="AI171" s="281">
        <f>IF(AC104=0,0,(AG166+AG167+AG168+AG169+AG170)/AC104*100)</f>
        <v>72.366666666666674</v>
      </c>
      <c r="AJ171" s="281">
        <f>IF(AC105=0,0,(AG166+AG167+AG168+AG169+AG170)/AC105*100)</f>
        <v>72.366666666666674</v>
      </c>
      <c r="AK171" s="168"/>
      <c r="AL171" s="168"/>
      <c r="AM171" s="271" t="s">
        <v>433</v>
      </c>
      <c r="AO171" s="307"/>
      <c r="AQ171" s="307"/>
      <c r="AU171" s="274"/>
      <c r="AV171" s="274"/>
      <c r="AX171" s="281">
        <f>IF(AS103=0,0,(AW166+AW167+AW168+AW169+AW170)/AS103*100)</f>
        <v>68.92063492063491</v>
      </c>
      <c r="AY171" s="281">
        <f>IF(AS104=0,0,(AW166+AW167+AW168+AW169+AW170)/AS104*100)</f>
        <v>68.92063492063491</v>
      </c>
      <c r="AZ171" s="281">
        <f>IF(AS105=0,0,(AW166+AW167+AW168+AW169+AW170)/AS105*100)</f>
        <v>68.92063492063491</v>
      </c>
      <c r="BA171" s="168"/>
      <c r="BB171" s="168"/>
      <c r="BC171" s="271" t="s">
        <v>433</v>
      </c>
      <c r="BE171" s="307"/>
      <c r="BG171" s="307"/>
      <c r="BK171" s="274"/>
      <c r="BL171" s="274"/>
      <c r="BN171" s="281">
        <f>IF(BI103=0,0,(BM166+BM167+BM168+BM169+BM170)/BI103*100)</f>
        <v>65.787878787878782</v>
      </c>
      <c r="BO171" s="281">
        <f>IF(BI104=0,0,(BM166+BM167+BM168+BM169+BM170)/BI104*100)</f>
        <v>65.787878787878782</v>
      </c>
      <c r="BP171" s="281">
        <f>IF(BI105=0,0,(BM166+BM167+BM168+BM169+BM170)/BI105*100)</f>
        <v>65.787878787878782</v>
      </c>
      <c r="BQ171" s="168"/>
      <c r="BR171" s="168"/>
      <c r="BS171" s="271" t="s">
        <v>433</v>
      </c>
      <c r="BU171" s="307"/>
      <c r="BW171" s="307"/>
      <c r="CA171" s="274"/>
      <c r="CB171" s="274"/>
      <c r="CD171" s="281">
        <f>IF(BY103=0,0,(CC166+CC167+CC168+CC169+CC170)/BY103*100)</f>
        <v>62.927536231884048</v>
      </c>
      <c r="CE171" s="281">
        <f>IF(BY104=0,0,(CC166+CC167+CC168+CC169+CC170)/BY104*100)</f>
        <v>62.927536231884048</v>
      </c>
      <c r="CF171" s="281">
        <f>IF(BY105=0,0,(CC166+CC167+CC168+CC169+CC170)/BY105*100)</f>
        <v>62.927536231884048</v>
      </c>
      <c r="CG171" s="168"/>
      <c r="CH171" s="168"/>
      <c r="CI171" s="271" t="s">
        <v>433</v>
      </c>
      <c r="CK171" s="307"/>
      <c r="CM171" s="307"/>
      <c r="CQ171" s="274"/>
      <c r="CR171" s="274"/>
      <c r="CT171" s="281">
        <f>IF(CO103=0,0,(CS166+CS167+CS168+CS169+CS170)/CO103*100)</f>
        <v>60.305555555555557</v>
      </c>
      <c r="CU171" s="281">
        <f>IF(CO104=0,0,(CS166+CS167+CS168+CS169+CS170)/CO104*100)</f>
        <v>60.305555555555557</v>
      </c>
      <c r="CV171" s="281">
        <f>IF(CO105=0,0,(CS166+CS167+CS168+CS169+CS170)/CO105*100)</f>
        <v>60.305555555555557</v>
      </c>
      <c r="CW171" s="168"/>
      <c r="CX171" s="168"/>
      <c r="CY171" s="271" t="s">
        <v>433</v>
      </c>
      <c r="DA171" s="307"/>
      <c r="DC171" s="307"/>
      <c r="DG171" s="274"/>
      <c r="DH171" s="274"/>
      <c r="DJ171" s="281">
        <f>IF(DE103=0,0,(DI166+DI167+DI168+DI169+DI170)/DE103*100)</f>
        <v>57.893333333333331</v>
      </c>
      <c r="DK171" s="281">
        <f>IF(DE104=0,0,(DI166+DI167+DI168+DI169+DI170)/DE104*100)</f>
        <v>57.893333333333331</v>
      </c>
      <c r="DL171" s="281">
        <f>IF(DE105=0,0,(DI166+DI167+DI168+DI169+DI170)/DE105*100)</f>
        <v>57.893333333333331</v>
      </c>
      <c r="DM171" s="168"/>
      <c r="DN171" s="168"/>
      <c r="DO171" s="271" t="s">
        <v>433</v>
      </c>
      <c r="DQ171" s="307"/>
      <c r="DS171" s="307"/>
      <c r="DW171" s="274"/>
      <c r="DX171" s="274"/>
      <c r="DZ171" s="281">
        <f>IF(DU103=0,0,(DY166+DY167+DY168+DY169+DY170)/DU103*100)</f>
        <v>55.666666666666664</v>
      </c>
      <c r="EA171" s="281">
        <f>IF(DU104=0,0,(DY166+DY167+DY168+DY169+DY170)/DU104*100)</f>
        <v>55.666666666666664</v>
      </c>
      <c r="EB171" s="281">
        <f>IF(DU105=0,0,(DY166+DY167+DY168+DY169+DY170)/DU105*100)</f>
        <v>55.666666666666664</v>
      </c>
      <c r="EC171" s="168"/>
      <c r="ED171" s="168"/>
      <c r="EE171" s="271" t="s">
        <v>433</v>
      </c>
      <c r="EG171" s="307"/>
      <c r="EI171" s="307"/>
      <c r="EM171" s="274"/>
      <c r="EN171" s="274"/>
      <c r="EP171" s="281">
        <f>IF(EK103=0,0,(EO166+EO167+EO168+EO169+EO170)/EK103*100)</f>
        <v>53.604938271604944</v>
      </c>
      <c r="EQ171" s="281">
        <f>IF(EK104=0,0,(EO166+EO167+EO168+EO169+EO170)/EK104*100)</f>
        <v>53.604938271604944</v>
      </c>
      <c r="ER171" s="281">
        <f>IF(EK105=0,0,(EO166+EO167+EO168+EO169+EO170)/EK105*100)</f>
        <v>53.604938271604944</v>
      </c>
      <c r="ES171" s="168"/>
      <c r="ET171" s="168"/>
      <c r="EU171" s="271" t="s">
        <v>433</v>
      </c>
      <c r="EW171" s="307"/>
      <c r="EY171" s="307"/>
      <c r="FC171" s="274"/>
      <c r="FD171" s="274"/>
      <c r="FF171" s="281">
        <f>IF(FA103=0,0,(FE166+FE167+FE168+FE169+FE170)/FA103*100)</f>
        <v>51.69047619047619</v>
      </c>
      <c r="FG171" s="281">
        <f>IF(FA104=0,0,(FE166+FE167+FE168+FE169+FE170)/FA104*100)</f>
        <v>51.69047619047619</v>
      </c>
      <c r="FH171" s="281">
        <f>IF(FA105=0,0,(FE166+FE167+FE168+FE169+FE170)/FA105*100)</f>
        <v>51.69047619047619</v>
      </c>
      <c r="FI171" s="168"/>
      <c r="FJ171" s="168"/>
      <c r="FK171" s="168"/>
      <c r="FL171" s="168"/>
      <c r="FM171" s="168"/>
      <c r="FN171" s="168"/>
      <c r="FO171" s="168"/>
      <c r="FP171" s="168"/>
      <c r="FQ171" s="168"/>
      <c r="FR171" s="168"/>
      <c r="FS171" s="168"/>
      <c r="FT171" s="168"/>
      <c r="FU171" s="168"/>
      <c r="FV171" s="168"/>
      <c r="FW171" s="168"/>
      <c r="FX171" s="168"/>
      <c r="FY171" s="168"/>
      <c r="FZ171" s="168"/>
      <c r="GA171" s="168"/>
      <c r="GB171" s="168"/>
      <c r="GC171" s="168"/>
      <c r="GD171" s="168"/>
      <c r="GE171" s="168"/>
      <c r="GF171" s="168"/>
      <c r="GG171" s="168"/>
      <c r="GH171" s="168"/>
      <c r="GI171" s="168"/>
      <c r="GJ171" s="168"/>
      <c r="GK171" s="168"/>
      <c r="GL171" s="168"/>
      <c r="GM171" s="168"/>
      <c r="GN171" s="168"/>
      <c r="GO171" s="168"/>
      <c r="GP171" s="168"/>
      <c r="GQ171" s="168"/>
      <c r="GR171" s="168"/>
      <c r="GS171" s="168"/>
      <c r="GT171" s="168"/>
      <c r="GU171" s="168"/>
      <c r="GV171" s="168"/>
      <c r="GW171" s="168"/>
      <c r="GX171" s="168"/>
      <c r="GY171" s="168"/>
      <c r="GZ171" s="168"/>
      <c r="HA171" s="168"/>
      <c r="HB171" s="168"/>
      <c r="HC171" s="168"/>
      <c r="HD171" s="168"/>
      <c r="HE171" s="168"/>
      <c r="HF171" s="168"/>
      <c r="HG171" s="168"/>
      <c r="HH171" s="168"/>
      <c r="HI171" s="162"/>
      <c r="HJ171" s="162"/>
      <c r="HK171" s="162"/>
      <c r="HL171" s="162"/>
      <c r="HM171" s="162"/>
      <c r="HN171" s="162"/>
      <c r="HO171" s="162"/>
      <c r="HP171" s="162"/>
      <c r="HQ171" s="162"/>
      <c r="HR171" s="162"/>
      <c r="HS171" s="162"/>
      <c r="HT171" s="162"/>
      <c r="HU171" s="162"/>
      <c r="HV171" s="162"/>
      <c r="HW171" s="162"/>
      <c r="HX171" s="162"/>
      <c r="HY171" s="162"/>
      <c r="HZ171" s="162"/>
      <c r="IA171" s="162"/>
      <c r="IB171" s="162"/>
      <c r="IC171" s="162"/>
      <c r="ID171" s="162"/>
      <c r="IE171" s="162"/>
      <c r="IF171" s="162"/>
      <c r="IG171" s="162"/>
      <c r="IH171" s="162"/>
      <c r="II171" s="162"/>
      <c r="IJ171" s="162"/>
      <c r="IK171" s="162"/>
      <c r="IL171" s="162"/>
      <c r="IM171" s="162"/>
      <c r="IN171" s="162"/>
      <c r="IO171" s="162"/>
      <c r="IP171" s="162"/>
      <c r="IQ171" s="162"/>
      <c r="IR171" s="162"/>
      <c r="IS171" s="162"/>
      <c r="IT171" s="162"/>
      <c r="IU171" s="162"/>
      <c r="IV171" s="162"/>
    </row>
    <row r="172" spans="1:256" s="168" customFormat="1" ht="12.75" x14ac:dyDescent="0.2">
      <c r="A172" s="869"/>
      <c r="B172" s="923"/>
      <c r="C172" s="923"/>
      <c r="D172" s="923"/>
      <c r="E172" s="923"/>
      <c r="F172" s="923"/>
      <c r="G172" s="923"/>
      <c r="H172" s="923"/>
      <c r="I172" s="923"/>
      <c r="J172" s="923"/>
      <c r="K172" s="923"/>
      <c r="L172" s="923"/>
      <c r="M172" s="923"/>
      <c r="N172" s="923"/>
      <c r="O172" s="923"/>
      <c r="P172" s="923"/>
      <c r="Q172" s="912"/>
      <c r="R172" s="913"/>
      <c r="S172" s="167"/>
      <c r="W172" s="186"/>
      <c r="X172" s="187"/>
      <c r="Y172" s="187"/>
      <c r="Z172" s="187"/>
      <c r="AA172" s="187" t="e">
        <f>SUM(AH127:AH170)</f>
        <v>#DIV/0!</v>
      </c>
      <c r="AB172" s="187"/>
      <c r="AC172" s="308" t="e">
        <f>SUM(AI127:AI170)</f>
        <v>#DIV/0!</v>
      </c>
      <c r="AD172" s="249"/>
      <c r="AE172" s="249"/>
      <c r="AF172" s="308"/>
      <c r="AG172" s="309"/>
      <c r="AH172" s="310" t="s">
        <v>24</v>
      </c>
      <c r="AI172" s="310" t="s">
        <v>51</v>
      </c>
      <c r="AJ172" s="310" t="s">
        <v>387</v>
      </c>
      <c r="AM172" s="186"/>
      <c r="AN172" s="187"/>
      <c r="AO172" s="187"/>
      <c r="AP172" s="187"/>
      <c r="AQ172" s="187" t="e">
        <f>SUM(AX127:AX170)</f>
        <v>#DIV/0!</v>
      </c>
      <c r="AR172" s="187"/>
      <c r="AS172" s="308" t="e">
        <f>SUM(AY127:AY170)</f>
        <v>#DIV/0!</v>
      </c>
      <c r="AT172" s="249"/>
      <c r="AU172" s="249"/>
      <c r="AV172" s="308"/>
      <c r="AW172" s="309"/>
      <c r="AX172" s="310" t="s">
        <v>24</v>
      </c>
      <c r="AY172" s="310" t="s">
        <v>51</v>
      </c>
      <c r="AZ172" s="310" t="s">
        <v>387</v>
      </c>
      <c r="BC172" s="186"/>
      <c r="BD172" s="187"/>
      <c r="BE172" s="187"/>
      <c r="BF172" s="187"/>
      <c r="BG172" s="187" t="e">
        <f>SUM(BN127:BN170)</f>
        <v>#DIV/0!</v>
      </c>
      <c r="BH172" s="187"/>
      <c r="BI172" s="308" t="e">
        <f>SUM(BO127:BO170)</f>
        <v>#DIV/0!</v>
      </c>
      <c r="BJ172" s="249"/>
      <c r="BK172" s="249"/>
      <c r="BL172" s="308"/>
      <c r="BM172" s="309"/>
      <c r="BN172" s="310" t="s">
        <v>24</v>
      </c>
      <c r="BO172" s="310" t="s">
        <v>51</v>
      </c>
      <c r="BP172" s="310" t="s">
        <v>387</v>
      </c>
      <c r="BS172" s="186"/>
      <c r="BT172" s="187"/>
      <c r="BU172" s="187"/>
      <c r="BV172" s="187"/>
      <c r="BW172" s="187" t="e">
        <f>SUM(CD127:CD170)</f>
        <v>#DIV/0!</v>
      </c>
      <c r="BX172" s="187"/>
      <c r="BY172" s="308" t="e">
        <f>SUM(CE127:CE170)</f>
        <v>#DIV/0!</v>
      </c>
      <c r="BZ172" s="249"/>
      <c r="CA172" s="249"/>
      <c r="CB172" s="308"/>
      <c r="CC172" s="309"/>
      <c r="CD172" s="310" t="s">
        <v>24</v>
      </c>
      <c r="CE172" s="310" t="s">
        <v>51</v>
      </c>
      <c r="CF172" s="310" t="s">
        <v>387</v>
      </c>
      <c r="CI172" s="186"/>
      <c r="CJ172" s="187"/>
      <c r="CK172" s="187"/>
      <c r="CL172" s="187"/>
      <c r="CM172" s="187" t="e">
        <f>SUM(CT127:CT170)</f>
        <v>#DIV/0!</v>
      </c>
      <c r="CN172" s="187"/>
      <c r="CO172" s="308" t="e">
        <f>SUM(CU127:CU170)</f>
        <v>#DIV/0!</v>
      </c>
      <c r="CP172" s="249"/>
      <c r="CQ172" s="249"/>
      <c r="CR172" s="308"/>
      <c r="CS172" s="309"/>
      <c r="CT172" s="310" t="s">
        <v>24</v>
      </c>
      <c r="CU172" s="310" t="s">
        <v>51</v>
      </c>
      <c r="CV172" s="310" t="s">
        <v>387</v>
      </c>
      <c r="CY172" s="186"/>
      <c r="CZ172" s="187"/>
      <c r="DA172" s="187"/>
      <c r="DB172" s="187"/>
      <c r="DC172" s="187" t="e">
        <f>SUM(DJ127:DJ170)</f>
        <v>#DIV/0!</v>
      </c>
      <c r="DD172" s="187"/>
      <c r="DE172" s="308" t="e">
        <f>SUM(DK127:DK170)</f>
        <v>#DIV/0!</v>
      </c>
      <c r="DF172" s="249"/>
      <c r="DG172" s="249"/>
      <c r="DH172" s="308"/>
      <c r="DI172" s="309"/>
      <c r="DJ172" s="310" t="s">
        <v>24</v>
      </c>
      <c r="DK172" s="310" t="s">
        <v>51</v>
      </c>
      <c r="DL172" s="310" t="s">
        <v>387</v>
      </c>
      <c r="DO172" s="186"/>
      <c r="DP172" s="187"/>
      <c r="DQ172" s="187"/>
      <c r="DR172" s="187"/>
      <c r="DS172" s="187" t="e">
        <f>SUM(DZ127:DZ170)</f>
        <v>#DIV/0!</v>
      </c>
      <c r="DT172" s="187"/>
      <c r="DU172" s="308" t="e">
        <f>SUM(EA127:EA170)</f>
        <v>#DIV/0!</v>
      </c>
      <c r="DV172" s="249"/>
      <c r="DW172" s="249"/>
      <c r="DX172" s="308"/>
      <c r="DY172" s="309"/>
      <c r="DZ172" s="310" t="s">
        <v>24</v>
      </c>
      <c r="EA172" s="310" t="s">
        <v>51</v>
      </c>
      <c r="EB172" s="310" t="s">
        <v>387</v>
      </c>
      <c r="EE172" s="186"/>
      <c r="EF172" s="187"/>
      <c r="EG172" s="187"/>
      <c r="EH172" s="187"/>
      <c r="EI172" s="187" t="e">
        <f>SUM(EP127:EP170)</f>
        <v>#DIV/0!</v>
      </c>
      <c r="EJ172" s="187"/>
      <c r="EK172" s="308" t="e">
        <f>SUM(EQ127:EQ170)</f>
        <v>#DIV/0!</v>
      </c>
      <c r="EL172" s="249"/>
      <c r="EM172" s="249"/>
      <c r="EN172" s="308"/>
      <c r="EO172" s="309"/>
      <c r="EP172" s="310" t="s">
        <v>24</v>
      </c>
      <c r="EQ172" s="310" t="s">
        <v>51</v>
      </c>
      <c r="ER172" s="310" t="s">
        <v>387</v>
      </c>
      <c r="EU172" s="186"/>
      <c r="EV172" s="187"/>
      <c r="EW172" s="187"/>
      <c r="EX172" s="187"/>
      <c r="EY172" s="187" t="e">
        <f>SUM(FF127:FF170)</f>
        <v>#DIV/0!</v>
      </c>
      <c r="EZ172" s="187"/>
      <c r="FA172" s="308" t="e">
        <f>SUM(FG127:FG170)</f>
        <v>#DIV/0!</v>
      </c>
      <c r="FB172" s="249"/>
      <c r="FC172" s="249"/>
      <c r="FD172" s="308"/>
      <c r="FE172" s="309"/>
      <c r="FF172" s="310" t="s">
        <v>24</v>
      </c>
      <c r="FG172" s="310" t="s">
        <v>51</v>
      </c>
      <c r="FH172" s="310" t="s">
        <v>387</v>
      </c>
      <c r="HI172" s="162"/>
      <c r="HJ172" s="162"/>
      <c r="HK172" s="162"/>
      <c r="HL172" s="162"/>
      <c r="HM172" s="162"/>
      <c r="HN172" s="162"/>
      <c r="HO172" s="162"/>
      <c r="HP172" s="162"/>
      <c r="HQ172" s="162"/>
      <c r="HR172" s="162"/>
      <c r="HS172" s="162"/>
      <c r="HT172" s="162"/>
      <c r="HU172" s="162"/>
      <c r="HV172" s="162"/>
      <c r="HW172" s="162"/>
      <c r="HX172" s="162"/>
      <c r="HY172" s="162"/>
      <c r="HZ172" s="162"/>
      <c r="IA172" s="162"/>
      <c r="IB172" s="162"/>
      <c r="IC172" s="162"/>
      <c r="ID172" s="162"/>
      <c r="IE172" s="162"/>
      <c r="IF172" s="162"/>
      <c r="IG172" s="162"/>
      <c r="IH172" s="162"/>
      <c r="II172" s="162"/>
      <c r="IJ172" s="162"/>
      <c r="IK172" s="162"/>
      <c r="IL172" s="162"/>
      <c r="IM172" s="162"/>
      <c r="IN172" s="162"/>
      <c r="IO172" s="162"/>
      <c r="IP172" s="162"/>
      <c r="IQ172" s="162"/>
      <c r="IR172" s="162"/>
      <c r="IS172" s="162"/>
      <c r="IT172" s="162"/>
      <c r="IU172" s="162"/>
      <c r="IV172" s="162"/>
    </row>
    <row r="173" spans="1:256" s="168" customFormat="1" ht="12.75" x14ac:dyDescent="0.2">
      <c r="A173" s="869"/>
      <c r="B173" s="923"/>
      <c r="C173" s="923"/>
      <c r="D173" s="923"/>
      <c r="E173" s="923"/>
      <c r="F173" s="923"/>
      <c r="G173" s="923"/>
      <c r="H173" s="923"/>
      <c r="I173" s="923"/>
      <c r="J173" s="923"/>
      <c r="K173" s="923"/>
      <c r="L173" s="923"/>
      <c r="M173" s="923"/>
      <c r="N173" s="923"/>
      <c r="O173" s="923"/>
      <c r="P173" s="923"/>
      <c r="Q173" s="912"/>
      <c r="R173" s="913"/>
      <c r="S173" s="167"/>
      <c r="W173" s="206"/>
      <c r="AA173" s="168">
        <f>IF(AH110=0,0,(AH110+AH111+AH114+AH115))</f>
        <v>221.63862849101326</v>
      </c>
      <c r="AC173" s="191">
        <f>IF(AI117=0,0,(AI117+AI118+AI121))</f>
        <v>196.96929073086829</v>
      </c>
      <c r="AD173" s="249"/>
      <c r="AE173" s="249"/>
      <c r="AF173" s="191"/>
      <c r="AG173" s="311"/>
      <c r="AH173" s="312" t="s">
        <v>434</v>
      </c>
      <c r="AI173" s="312" t="s">
        <v>434</v>
      </c>
      <c r="AJ173" s="312" t="s">
        <v>434</v>
      </c>
      <c r="AM173" s="206"/>
      <c r="AQ173" s="168">
        <f>IF(AX110=0,0,(AX110+AX111+AX114+AX115))</f>
        <v>211.08440808667928</v>
      </c>
      <c r="AS173" s="191">
        <f>IF(AY117=0,0,(AY117+AY118+AY121))</f>
        <v>187.58980069606508</v>
      </c>
      <c r="AT173" s="249"/>
      <c r="AU173" s="249"/>
      <c r="AV173" s="191"/>
      <c r="AW173" s="311"/>
      <c r="AX173" s="312" t="s">
        <v>434</v>
      </c>
      <c r="AY173" s="312" t="s">
        <v>434</v>
      </c>
      <c r="AZ173" s="312" t="s">
        <v>434</v>
      </c>
      <c r="BC173" s="206"/>
      <c r="BG173" s="168">
        <f>IF(BN110=0,0,(BN110+BN111+BN114+BN115))</f>
        <v>201.48966226455752</v>
      </c>
      <c r="BI173" s="191">
        <f>IF(BO117=0,0,(BO117+BO118+BO121))</f>
        <v>179.06299157351665</v>
      </c>
      <c r="BJ173" s="249"/>
      <c r="BK173" s="249"/>
      <c r="BL173" s="191"/>
      <c r="BM173" s="311"/>
      <c r="BN173" s="312" t="s">
        <v>434</v>
      </c>
      <c r="BO173" s="312" t="s">
        <v>434</v>
      </c>
      <c r="BP173" s="312" t="s">
        <v>434</v>
      </c>
      <c r="BS173" s="206"/>
      <c r="BW173" s="168">
        <f>IF(CD110=0,0,(CD110+CD111+CD114+CD115))</f>
        <v>192.72924216609852</v>
      </c>
      <c r="BY173" s="191">
        <f>IF(CE117=0,0,(CE117+CE118+CE121))</f>
        <v>171.27764411379854</v>
      </c>
      <c r="BZ173" s="249"/>
      <c r="CA173" s="249"/>
      <c r="CB173" s="191"/>
      <c r="CC173" s="311"/>
      <c r="CD173" s="312" t="s">
        <v>434</v>
      </c>
      <c r="CE173" s="312" t="s">
        <v>434</v>
      </c>
      <c r="CF173" s="312" t="s">
        <v>434</v>
      </c>
      <c r="CI173" s="206"/>
      <c r="CM173" s="168">
        <f>IF(CT110=0,0,(CT110+CT111+CT114+CT115))</f>
        <v>184.69885707584439</v>
      </c>
      <c r="CO173" s="191">
        <f>IF(CU117=0,0,(CU117+CU118+CU121))</f>
        <v>164.14107560905694</v>
      </c>
      <c r="CP173" s="249"/>
      <c r="CQ173" s="249"/>
      <c r="CR173" s="191"/>
      <c r="CS173" s="311"/>
      <c r="CT173" s="312" t="s">
        <v>434</v>
      </c>
      <c r="CU173" s="312" t="s">
        <v>434</v>
      </c>
      <c r="CV173" s="312" t="s">
        <v>434</v>
      </c>
      <c r="CY173" s="206"/>
      <c r="DC173" s="168">
        <f>IF(DJ110=0,0,(DJ110+DJ111+DJ114+DJ115))</f>
        <v>177.31090279281062</v>
      </c>
      <c r="DE173" s="191">
        <f>IF(DK117=0,0,(DK117+DK118+DK121))</f>
        <v>157.57543258469465</v>
      </c>
      <c r="DF173" s="249"/>
      <c r="DG173" s="249"/>
      <c r="DH173" s="191"/>
      <c r="DI173" s="311"/>
      <c r="DJ173" s="312" t="s">
        <v>434</v>
      </c>
      <c r="DK173" s="312" t="s">
        <v>434</v>
      </c>
      <c r="DL173" s="312" t="s">
        <v>434</v>
      </c>
      <c r="DO173" s="206"/>
      <c r="DS173" s="168">
        <f>IF(DZ110=0,0,(DZ110+DZ111+DZ114+DZ115))</f>
        <v>170.49125268539481</v>
      </c>
      <c r="DU173" s="191">
        <f>IF(EA117=0,0,(EA117+EA118+EA121))</f>
        <v>151.51483902374486</v>
      </c>
      <c r="DV173" s="249"/>
      <c r="DW173" s="249"/>
      <c r="DX173" s="191"/>
      <c r="DY173" s="311"/>
      <c r="DZ173" s="312" t="s">
        <v>434</v>
      </c>
      <c r="EA173" s="312" t="s">
        <v>434</v>
      </c>
      <c r="EB173" s="312" t="s">
        <v>434</v>
      </c>
      <c r="EE173" s="206"/>
      <c r="EI173" s="168">
        <f>IF(EP110=0,0,(EP110+EP111+EP114+EP115))</f>
        <v>164.17676184519502</v>
      </c>
      <c r="EK173" s="191">
        <f>IF(EQ117=0,0,(EQ117+EQ118+EQ121))</f>
        <v>145.90317831916173</v>
      </c>
      <c r="EL173" s="249"/>
      <c r="EM173" s="249"/>
      <c r="EN173" s="191"/>
      <c r="EO173" s="311"/>
      <c r="EP173" s="312" t="s">
        <v>434</v>
      </c>
      <c r="EQ173" s="312" t="s">
        <v>434</v>
      </c>
      <c r="ER173" s="312" t="s">
        <v>434</v>
      </c>
      <c r="EU173" s="206"/>
      <c r="EY173" s="168">
        <f>IF(FF110=0,0,(FF110+FF111+FF114+FF115))</f>
        <v>158.31330606500947</v>
      </c>
      <c r="FA173" s="191">
        <f>IF(FG117=0,0,(FG117+FG118+FG121))</f>
        <v>140.6923505220488</v>
      </c>
      <c r="FB173" s="249"/>
      <c r="FC173" s="249"/>
      <c r="FD173" s="191"/>
      <c r="FE173" s="311"/>
      <c r="FF173" s="312" t="s">
        <v>434</v>
      </c>
      <c r="FG173" s="312" t="s">
        <v>434</v>
      </c>
      <c r="FH173" s="312" t="s">
        <v>434</v>
      </c>
      <c r="HI173" s="162"/>
      <c r="HJ173" s="162"/>
      <c r="HK173" s="162"/>
      <c r="HL173" s="162"/>
      <c r="HM173" s="162"/>
      <c r="HN173" s="162"/>
      <c r="HO173" s="162"/>
      <c r="HP173" s="162"/>
      <c r="HQ173" s="162"/>
      <c r="HR173" s="162"/>
      <c r="HS173" s="162"/>
      <c r="HT173" s="162"/>
      <c r="HU173" s="162"/>
      <c r="HV173" s="162"/>
      <c r="HW173" s="162"/>
      <c r="HX173" s="162"/>
      <c r="HY173" s="162"/>
      <c r="HZ173" s="162"/>
      <c r="IA173" s="162"/>
      <c r="IB173" s="162"/>
      <c r="IC173" s="162"/>
      <c r="ID173" s="162"/>
      <c r="IE173" s="162"/>
      <c r="IF173" s="162"/>
      <c r="IG173" s="162"/>
      <c r="IH173" s="162"/>
      <c r="II173" s="162"/>
      <c r="IJ173" s="162"/>
      <c r="IK173" s="162"/>
      <c r="IL173" s="162"/>
      <c r="IM173" s="162"/>
      <c r="IN173" s="162"/>
      <c r="IO173" s="162"/>
      <c r="IP173" s="162"/>
      <c r="IQ173" s="162"/>
      <c r="IR173" s="162"/>
      <c r="IS173" s="162"/>
      <c r="IT173" s="162"/>
      <c r="IU173" s="162"/>
      <c r="IV173" s="162"/>
    </row>
    <row r="174" spans="1:256" s="168" customFormat="1" ht="12.75" x14ac:dyDescent="0.2">
      <c r="A174" s="869"/>
      <c r="B174" s="923"/>
      <c r="C174" s="923"/>
      <c r="D174" s="923"/>
      <c r="E174" s="923"/>
      <c r="F174" s="923"/>
      <c r="G174" s="923"/>
      <c r="H174" s="923"/>
      <c r="I174" s="923"/>
      <c r="J174" s="923"/>
      <c r="K174" s="923"/>
      <c r="L174" s="923"/>
      <c r="M174" s="923"/>
      <c r="N174" s="923"/>
      <c r="O174" s="923"/>
      <c r="P174" s="923"/>
      <c r="Q174" s="912"/>
      <c r="R174" s="913"/>
      <c r="S174" s="167"/>
      <c r="W174" s="206"/>
      <c r="AA174" s="168" t="e">
        <f>SUM(AH127:AH170)</f>
        <v>#DIV/0!</v>
      </c>
      <c r="AC174" s="200" t="e">
        <f>SUM(AI127:AI170)</f>
        <v>#DIV/0!</v>
      </c>
      <c r="AD174" s="249"/>
      <c r="AE174" s="249"/>
      <c r="AF174" s="191"/>
      <c r="AG174" s="313" t="s">
        <v>435</v>
      </c>
      <c r="AH174" s="314" t="e">
        <f>IF($D$13=0,0,((AA172+AA173)/100))</f>
        <v>#DIV/0!</v>
      </c>
      <c r="AI174" s="314" t="e">
        <f>IF($D$24=0,0,(AC172+AC173)/100)</f>
        <v>#DIV/0!</v>
      </c>
      <c r="AJ174" s="314">
        <f>IF($D$35=0,0,(AJ128+AJ129+AJ140+AJ148+AJ149+AJ150+AJ152+AJ153+AJ154+AJ160+AJ163+AJ164+AJ166+AJ167+AJ168+AJ169+AJ170)/100)</f>
        <v>0</v>
      </c>
      <c r="AM174" s="206"/>
      <c r="AQ174" s="168" t="e">
        <f>SUM(AX127:AX170)</f>
        <v>#DIV/0!</v>
      </c>
      <c r="AS174" s="200" t="e">
        <f>SUM(AY127:AY170)</f>
        <v>#DIV/0!</v>
      </c>
      <c r="AT174" s="249"/>
      <c r="AU174" s="249"/>
      <c r="AV174" s="191"/>
      <c r="AW174" s="313" t="s">
        <v>435</v>
      </c>
      <c r="AX174" s="314" t="e">
        <f>IF($D$13=0,0,((AQ172+AQ173)/100))</f>
        <v>#DIV/0!</v>
      </c>
      <c r="AY174" s="314" t="e">
        <f>IF($D$24=0,0,(AS172+AS173)/100)</f>
        <v>#DIV/0!</v>
      </c>
      <c r="AZ174" s="314">
        <f>IF($D$35=0,0,(AZ128+AZ129+AZ140+AZ148+AZ149+AZ150+AZ152+AZ153+AZ154+AZ160+AZ163+AZ164+AZ166+AZ167+AZ168+AZ169+AZ170)/100)</f>
        <v>0</v>
      </c>
      <c r="BC174" s="206"/>
      <c r="BG174" s="168" t="e">
        <f>SUM(BN127:BN170)</f>
        <v>#DIV/0!</v>
      </c>
      <c r="BI174" s="200" t="e">
        <f>SUM(BO127:BO170)</f>
        <v>#DIV/0!</v>
      </c>
      <c r="BJ174" s="249"/>
      <c r="BK174" s="249"/>
      <c r="BL174" s="191"/>
      <c r="BM174" s="313" t="s">
        <v>435</v>
      </c>
      <c r="BN174" s="314" t="e">
        <f>IF($D$13=0,0,((BG172+BG173)/100))</f>
        <v>#DIV/0!</v>
      </c>
      <c r="BO174" s="314" t="e">
        <f>IF($D$24=0,0,(BI172+BI173)/100)</f>
        <v>#DIV/0!</v>
      </c>
      <c r="BP174" s="314">
        <f>IF($D$35=0,0,(BP128+BP129+BP140+BP148+BP149+BP150+BP152+BP153+BP154+BP160+BP163+BP164+BP166+BP167+BP168+BP169+BP170)/100)</f>
        <v>0</v>
      </c>
      <c r="BS174" s="206"/>
      <c r="BW174" s="168" t="e">
        <f>SUM(CD127:CD170)</f>
        <v>#DIV/0!</v>
      </c>
      <c r="BY174" s="200" t="e">
        <f>SUM(CE127:CE170)</f>
        <v>#DIV/0!</v>
      </c>
      <c r="BZ174" s="249"/>
      <c r="CA174" s="249"/>
      <c r="CB174" s="191"/>
      <c r="CC174" s="313" t="s">
        <v>435</v>
      </c>
      <c r="CD174" s="314" t="e">
        <f>IF($D$13=0,0,((BW172+BW173)/100))</f>
        <v>#DIV/0!</v>
      </c>
      <c r="CE174" s="314" t="e">
        <f>IF($D$24=0,0,(BY172+BY173)/100)</f>
        <v>#DIV/0!</v>
      </c>
      <c r="CF174" s="314">
        <f>IF($D$35=0,0,(CF128+CF129+CF140+CF148+CF149+CF150+CF152+CF153+CF154+CF160+CF163+CF164+CF166+CF167+CF168+CF169+CF170)/100)</f>
        <v>0</v>
      </c>
      <c r="CI174" s="206"/>
      <c r="CM174" s="168" t="e">
        <f>SUM(CT127:CT170)</f>
        <v>#DIV/0!</v>
      </c>
      <c r="CO174" s="200" t="e">
        <f>SUM(CU127:CU170)</f>
        <v>#DIV/0!</v>
      </c>
      <c r="CP174" s="249"/>
      <c r="CQ174" s="249"/>
      <c r="CR174" s="191"/>
      <c r="CS174" s="313" t="s">
        <v>435</v>
      </c>
      <c r="CT174" s="314" t="e">
        <f>IF($D$13=0,0,((CM172+CM173)/100))</f>
        <v>#DIV/0!</v>
      </c>
      <c r="CU174" s="314" t="e">
        <f>IF($D$24=0,0,(CO172+CO173)/100)</f>
        <v>#DIV/0!</v>
      </c>
      <c r="CV174" s="314">
        <f>IF($D$35=0,0,(CV128+CV129+CV140+CV148+CV149+CV150+CV152+CV153+CV154+CV160+CV163+CV164+CV166+CV167+CV168+CV169+CV170)/100)</f>
        <v>0</v>
      </c>
      <c r="CY174" s="206"/>
      <c r="DC174" s="168" t="e">
        <f>SUM(DJ127:DJ170)</f>
        <v>#DIV/0!</v>
      </c>
      <c r="DE174" s="200" t="e">
        <f>SUM(DK127:DK170)</f>
        <v>#DIV/0!</v>
      </c>
      <c r="DF174" s="249"/>
      <c r="DG174" s="249"/>
      <c r="DH174" s="191"/>
      <c r="DI174" s="313" t="s">
        <v>435</v>
      </c>
      <c r="DJ174" s="314" t="e">
        <f>IF($D$13=0,0,((DC172+DC173)/100))</f>
        <v>#DIV/0!</v>
      </c>
      <c r="DK174" s="314" t="e">
        <f>IF($D$24=0,0,(DE172+DE173)/100)</f>
        <v>#DIV/0!</v>
      </c>
      <c r="DL174" s="314">
        <f>IF($D$35=0,0,(DL128+DL129+DL140+DL148+DL149+DL150+DL152+DL153+DL154+DL160+DL163+DL164+DL166+DL167+DL168+DL169+DL170)/100)</f>
        <v>0</v>
      </c>
      <c r="DO174" s="206"/>
      <c r="DS174" s="168" t="e">
        <f>SUM(DZ127:DZ170)</f>
        <v>#DIV/0!</v>
      </c>
      <c r="DU174" s="200" t="e">
        <f>SUM(EA127:EA170)</f>
        <v>#DIV/0!</v>
      </c>
      <c r="DV174" s="249"/>
      <c r="DW174" s="249"/>
      <c r="DX174" s="191"/>
      <c r="DY174" s="313" t="s">
        <v>435</v>
      </c>
      <c r="DZ174" s="314" t="e">
        <f>IF($D$13=0,0,((DS172+DS173)/100))</f>
        <v>#DIV/0!</v>
      </c>
      <c r="EA174" s="314" t="e">
        <f>IF($D$24=0,0,(DU172+DU173)/100)</f>
        <v>#DIV/0!</v>
      </c>
      <c r="EB174" s="314">
        <f>IF($D$35=0,0,(EB128+EB129+EB140+EB148+EB149+EB150+EB152+EB153+EB154+EB160+EB163+EB164+EB166+EB167+EB168+EB169+EB170)/100)</f>
        <v>0</v>
      </c>
      <c r="EE174" s="206"/>
      <c r="EI174" s="168" t="e">
        <f>SUM(EP127:EP170)</f>
        <v>#DIV/0!</v>
      </c>
      <c r="EK174" s="200" t="e">
        <f>SUM(EQ127:EQ170)</f>
        <v>#DIV/0!</v>
      </c>
      <c r="EL174" s="249"/>
      <c r="EM174" s="249"/>
      <c r="EN174" s="191"/>
      <c r="EO174" s="313" t="s">
        <v>435</v>
      </c>
      <c r="EP174" s="314" t="e">
        <f>IF($D$13=0,0,((EI172+EI173)/100))</f>
        <v>#DIV/0!</v>
      </c>
      <c r="EQ174" s="314" t="e">
        <f>IF($D$24=0,0,(EK172+EK173)/100)</f>
        <v>#DIV/0!</v>
      </c>
      <c r="ER174" s="314">
        <f>IF($D$35=0,0,(ER128+ER129+ER140+ER148+ER149+ER150+ER152+ER153+ER154+ER160+ER163+ER164+ER166+ER167+ER168+ER169+ER170)/100)</f>
        <v>0</v>
      </c>
      <c r="EU174" s="206"/>
      <c r="EY174" s="168" t="e">
        <f>SUM(FF127:FF170)</f>
        <v>#DIV/0!</v>
      </c>
      <c r="FA174" s="200" t="e">
        <f>SUM(FG127:FG170)</f>
        <v>#DIV/0!</v>
      </c>
      <c r="FB174" s="249"/>
      <c r="FC174" s="249"/>
      <c r="FD174" s="191"/>
      <c r="FE174" s="313" t="s">
        <v>435</v>
      </c>
      <c r="FF174" s="314" t="e">
        <f>IF($D$13=0,0,((EY172+EY173)/100))</f>
        <v>#DIV/0!</v>
      </c>
      <c r="FG174" s="314" t="e">
        <f>IF($D$24=0,0,(FA172+FA173)/100)</f>
        <v>#DIV/0!</v>
      </c>
      <c r="FH174" s="314">
        <f>IF($D$35=0,0,(FH128+FH129+FH140+FH148+FH149+FH150+FH152+FH153+FH154+FH160+FH163+FH164+FH166+FH167+FH168+FH169+FH170)/100)</f>
        <v>0</v>
      </c>
      <c r="HI174" s="162"/>
      <c r="HJ174" s="162"/>
      <c r="HK174" s="162"/>
      <c r="HL174" s="162"/>
      <c r="HM174" s="162"/>
      <c r="HN174" s="162"/>
      <c r="HO174" s="162"/>
      <c r="HP174" s="162"/>
      <c r="HQ174" s="162"/>
      <c r="HR174" s="162"/>
      <c r="HS174" s="162"/>
      <c r="HT174" s="162"/>
      <c r="HU174" s="162"/>
      <c r="HV174" s="162"/>
      <c r="HW174" s="162"/>
      <c r="HX174" s="162"/>
      <c r="HY174" s="162"/>
      <c r="HZ174" s="162"/>
      <c r="IA174" s="162"/>
      <c r="IB174" s="162"/>
      <c r="IC174" s="162"/>
      <c r="ID174" s="162"/>
      <c r="IE174" s="162"/>
      <c r="IF174" s="162"/>
      <c r="IG174" s="162"/>
      <c r="IH174" s="162"/>
      <c r="II174" s="162"/>
      <c r="IJ174" s="162"/>
      <c r="IK174" s="162"/>
      <c r="IL174" s="162"/>
      <c r="IM174" s="162"/>
      <c r="IN174" s="162"/>
      <c r="IO174" s="162"/>
      <c r="IP174" s="162"/>
      <c r="IQ174" s="162"/>
      <c r="IR174" s="162"/>
      <c r="IS174" s="162"/>
      <c r="IT174" s="162"/>
      <c r="IU174" s="162"/>
      <c r="IV174" s="162"/>
    </row>
    <row r="175" spans="1:256" s="168" customFormat="1" ht="12.75" x14ac:dyDescent="0.2">
      <c r="A175" s="869"/>
      <c r="B175" s="923"/>
      <c r="C175" s="923"/>
      <c r="D175" s="923"/>
      <c r="E175" s="923"/>
      <c r="F175" s="923"/>
      <c r="G175" s="923"/>
      <c r="H175" s="923"/>
      <c r="I175" s="923"/>
      <c r="J175" s="923"/>
      <c r="K175" s="923"/>
      <c r="L175" s="923"/>
      <c r="M175" s="923"/>
      <c r="N175" s="923"/>
      <c r="O175" s="923"/>
      <c r="P175" s="923"/>
      <c r="Q175" s="912"/>
      <c r="R175" s="913"/>
      <c r="S175" s="167"/>
      <c r="W175" s="206"/>
      <c r="AA175" s="168">
        <f>IF(AH112=0,0,(AH112+AH113+AH114+AH115))</f>
        <v>206.08655723829787</v>
      </c>
      <c r="AC175" s="200">
        <f>IF(AI119=0,0,(AI119+AI120+AI121))</f>
        <v>302.7117317022462</v>
      </c>
      <c r="AD175" s="249"/>
      <c r="AE175" s="249"/>
      <c r="AF175" s="191"/>
      <c r="AG175" s="315" t="s">
        <v>61</v>
      </c>
      <c r="AH175" s="316" t="e">
        <f>SUM(AH174*AC103)</f>
        <v>#DIV/0!</v>
      </c>
      <c r="AI175" s="317" t="e">
        <f>SUM(AI174*AC104)</f>
        <v>#DIV/0!</v>
      </c>
      <c r="AJ175" s="318">
        <f>SUM(AJ174*AC105)</f>
        <v>0</v>
      </c>
      <c r="AM175" s="206"/>
      <c r="AQ175" s="168">
        <f>IF(AX112=0,0,(AX112+AX113+AX114+AX115))</f>
        <v>196.2729116555218</v>
      </c>
      <c r="AS175" s="200">
        <f>IF(AY119=0,0,(AY119+AY120+AY121))</f>
        <v>288.29688733547255</v>
      </c>
      <c r="AT175" s="249"/>
      <c r="AU175" s="249"/>
      <c r="AV175" s="191"/>
      <c r="AW175" s="315" t="s">
        <v>61</v>
      </c>
      <c r="AX175" s="316" t="e">
        <f>SUM(AX174*AS103)</f>
        <v>#DIV/0!</v>
      </c>
      <c r="AY175" s="317" t="e">
        <f>SUM(AY174*AS104)</f>
        <v>#DIV/0!</v>
      </c>
      <c r="AZ175" s="318">
        <f>SUM(AZ174*AS105)</f>
        <v>0</v>
      </c>
      <c r="BC175" s="206"/>
      <c r="BG175" s="168">
        <f>IF(BN112=0,0,(BN112+BN113+BN114+BN115))</f>
        <v>187.35141567117989</v>
      </c>
      <c r="BI175" s="200">
        <f>IF(BO119=0,0,(BO119+BO120+BO121))</f>
        <v>275.19248336567836</v>
      </c>
      <c r="BJ175" s="249"/>
      <c r="BK175" s="249"/>
      <c r="BL175" s="191"/>
      <c r="BM175" s="315" t="s">
        <v>61</v>
      </c>
      <c r="BN175" s="316" t="e">
        <f>SUM(BN174*BI103)</f>
        <v>#DIV/0!</v>
      </c>
      <c r="BO175" s="317" t="e">
        <f>SUM(BO174*BI104)</f>
        <v>#DIV/0!</v>
      </c>
      <c r="BP175" s="318">
        <f>SUM(BP174*BI105)</f>
        <v>0</v>
      </c>
      <c r="BS175" s="206"/>
      <c r="BW175" s="168">
        <f>IF(CD112=0,0,(CD112+CD113+CD114+CD115))</f>
        <v>179.20570194634598</v>
      </c>
      <c r="BY175" s="200">
        <f>IF(CE119=0,0,(CE119+CE120+CE121))</f>
        <v>263.22759278456192</v>
      </c>
      <c r="BZ175" s="249"/>
      <c r="CA175" s="249"/>
      <c r="CB175" s="191"/>
      <c r="CC175" s="315" t="s">
        <v>61</v>
      </c>
      <c r="CD175" s="316" t="e">
        <f>SUM(CD174*BY103)</f>
        <v>#DIV/0!</v>
      </c>
      <c r="CE175" s="317" t="e">
        <f>SUM(CE174*BY104)</f>
        <v>#DIV/0!</v>
      </c>
      <c r="CF175" s="318">
        <f>SUM(CF174*BY105)</f>
        <v>0</v>
      </c>
      <c r="CI175" s="206"/>
      <c r="CM175" s="168">
        <f>IF(CT112=0,0,(CT112+CT113+CT114+CT115))</f>
        <v>171.73879769858158</v>
      </c>
      <c r="CO175" s="200">
        <f>IF(CU119=0,0,(CU119+CU120+CU121))</f>
        <v>252.25977641853848</v>
      </c>
      <c r="CP175" s="249"/>
      <c r="CQ175" s="249"/>
      <c r="CR175" s="191"/>
      <c r="CS175" s="315" t="s">
        <v>61</v>
      </c>
      <c r="CT175" s="316" t="e">
        <f>SUM(CT174*CO103)</f>
        <v>#DIV/0!</v>
      </c>
      <c r="CU175" s="317" t="e">
        <f>SUM(CU174*CO104)</f>
        <v>#DIV/0!</v>
      </c>
      <c r="CV175" s="318">
        <f>SUM(CV174*CO105)</f>
        <v>0</v>
      </c>
      <c r="CY175" s="206"/>
      <c r="DC175" s="168">
        <f>IF(DJ112=0,0,(DJ112+DJ113+DJ114+DJ115))</f>
        <v>164.86924579063827</v>
      </c>
      <c r="DE175" s="200">
        <f>IF(DK119=0,0,(DK119+DK120+DK121))</f>
        <v>242.16938536179694</v>
      </c>
      <c r="DF175" s="249"/>
      <c r="DG175" s="249"/>
      <c r="DH175" s="191"/>
      <c r="DI175" s="315" t="s">
        <v>61</v>
      </c>
      <c r="DJ175" s="316" t="e">
        <f>SUM(DJ174*DE103)</f>
        <v>#DIV/0!</v>
      </c>
      <c r="DK175" s="317" t="e">
        <f>SUM(DK174*DE104)</f>
        <v>#DIV/0!</v>
      </c>
      <c r="DL175" s="318">
        <f>SUM(DL174*DE105)</f>
        <v>0</v>
      </c>
      <c r="DO175" s="206"/>
      <c r="DS175" s="168">
        <f>IF(DZ112=0,0,(DZ112+DZ113+DZ114+DZ115))</f>
        <v>158.52812095253682</v>
      </c>
      <c r="DU175" s="200">
        <f>IF(EA119=0,0,(EA119+EA120+EA121))</f>
        <v>232.85517823249705</v>
      </c>
      <c r="DV175" s="249"/>
      <c r="DW175" s="249"/>
      <c r="DX175" s="191"/>
      <c r="DY175" s="315" t="s">
        <v>61</v>
      </c>
      <c r="DZ175" s="316" t="e">
        <f>SUM(DZ174*DU103)</f>
        <v>#DIV/0!</v>
      </c>
      <c r="EA175" s="317" t="e">
        <f>SUM(EA174*DU104)</f>
        <v>#DIV/0!</v>
      </c>
      <c r="EB175" s="318">
        <f>SUM(EB174*DU105)</f>
        <v>0</v>
      </c>
      <c r="EE175" s="206"/>
      <c r="EI175" s="168">
        <f>IF(EP112=0,0,(EP112+EP113+EP114+EP115))</f>
        <v>152.65670906540583</v>
      </c>
      <c r="EK175" s="200">
        <f>IF(EQ119=0,0,(EQ119+EQ120+EQ121))</f>
        <v>224.23091237203423</v>
      </c>
      <c r="EL175" s="249"/>
      <c r="EM175" s="249"/>
      <c r="EN175" s="191"/>
      <c r="EO175" s="315" t="s">
        <v>61</v>
      </c>
      <c r="EP175" s="316" t="e">
        <f>SUM(EP174*EK103)</f>
        <v>#DIV/0!</v>
      </c>
      <c r="EQ175" s="317" t="e">
        <f>SUM(EQ174*EK104)</f>
        <v>#DIV/0!</v>
      </c>
      <c r="ER175" s="318">
        <f>SUM(ER174*EK105)</f>
        <v>0</v>
      </c>
      <c r="EU175" s="206"/>
      <c r="EY175" s="168">
        <f>IF(FF112=0,0,(FF112+FF113+FF114+FF115))</f>
        <v>147.20468374164133</v>
      </c>
      <c r="FA175" s="200">
        <f>IF(FG119=0,0,(FG119+FG120+FG121))</f>
        <v>216.22266550160444</v>
      </c>
      <c r="FB175" s="249"/>
      <c r="FC175" s="249"/>
      <c r="FD175" s="191"/>
      <c r="FE175" s="315" t="s">
        <v>61</v>
      </c>
      <c r="FF175" s="316" t="e">
        <f>SUM(FF174*FA103)</f>
        <v>#DIV/0!</v>
      </c>
      <c r="FG175" s="317" t="e">
        <f>SUM(FG174*FA104)</f>
        <v>#DIV/0!</v>
      </c>
      <c r="FH175" s="318">
        <f>SUM(FH174*FA105)</f>
        <v>0</v>
      </c>
      <c r="HI175" s="162"/>
      <c r="HJ175" s="162"/>
      <c r="HK175" s="162"/>
      <c r="HL175" s="162"/>
      <c r="HM175" s="162"/>
      <c r="HN175" s="162"/>
      <c r="HO175" s="162"/>
      <c r="HP175" s="162"/>
      <c r="HQ175" s="162"/>
      <c r="HR175" s="162"/>
      <c r="HS175" s="162"/>
      <c r="HT175" s="162"/>
      <c r="HU175" s="162"/>
      <c r="HV175" s="162"/>
      <c r="HW175" s="162"/>
      <c r="HX175" s="162"/>
      <c r="HY175" s="162"/>
      <c r="HZ175" s="162"/>
      <c r="IA175" s="162"/>
      <c r="IB175" s="162"/>
      <c r="IC175" s="162"/>
      <c r="ID175" s="162"/>
      <c r="IE175" s="162"/>
      <c r="IF175" s="162"/>
      <c r="IG175" s="162"/>
      <c r="IH175" s="162"/>
      <c r="II175" s="162"/>
      <c r="IJ175" s="162"/>
      <c r="IK175" s="162"/>
      <c r="IL175" s="162"/>
      <c r="IM175" s="162"/>
      <c r="IN175" s="162"/>
      <c r="IO175" s="162"/>
      <c r="IP175" s="162"/>
      <c r="IQ175" s="162"/>
      <c r="IR175" s="162"/>
      <c r="IS175" s="162"/>
      <c r="IT175" s="162"/>
      <c r="IU175" s="162"/>
      <c r="IV175" s="162"/>
    </row>
    <row r="176" spans="1:256" s="168" customFormat="1" ht="12.75" x14ac:dyDescent="0.2">
      <c r="A176" s="869"/>
      <c r="B176" s="923"/>
      <c r="C176" s="923"/>
      <c r="D176" s="923"/>
      <c r="E176" s="923"/>
      <c r="F176" s="923"/>
      <c r="G176" s="923"/>
      <c r="H176" s="923"/>
      <c r="I176" s="923"/>
      <c r="J176" s="923"/>
      <c r="K176" s="923"/>
      <c r="L176" s="923"/>
      <c r="M176" s="923"/>
      <c r="N176" s="923"/>
      <c r="O176" s="923"/>
      <c r="P176" s="923"/>
      <c r="Q176" s="912"/>
      <c r="R176" s="913"/>
      <c r="S176" s="167"/>
      <c r="W176" s="206"/>
      <c r="AC176" s="200"/>
      <c r="AD176" s="249"/>
      <c r="AE176" s="249"/>
      <c r="AF176" s="191"/>
      <c r="AG176" s="315"/>
      <c r="AH176" s="319" t="e">
        <f>IF(AH175=0,0,(AE183-AH175))</f>
        <v>#DIV/0!</v>
      </c>
      <c r="AI176" s="320" t="e">
        <f>IF(AI175=0,0,(AE185-AI175))</f>
        <v>#DIV/0!</v>
      </c>
      <c r="AJ176" s="321">
        <f>IF(AJ175=0,0,(AE187-AJ175))</f>
        <v>0</v>
      </c>
      <c r="AM176" s="206"/>
      <c r="AS176" s="200"/>
      <c r="AT176" s="249"/>
      <c r="AU176" s="249"/>
      <c r="AV176" s="191"/>
      <c r="AW176" s="315"/>
      <c r="AX176" s="319" t="e">
        <f>IF(AX175=0,0,(AU183-AX175))</f>
        <v>#DIV/0!</v>
      </c>
      <c r="AY176" s="320" t="e">
        <f>IF(AY175=0,0,(AU185-AY175))</f>
        <v>#DIV/0!</v>
      </c>
      <c r="AZ176" s="321">
        <f>IF(AZ175=0,0,(AU187-AZ175))</f>
        <v>0</v>
      </c>
      <c r="BC176" s="206"/>
      <c r="BI176" s="200"/>
      <c r="BJ176" s="249"/>
      <c r="BK176" s="249"/>
      <c r="BL176" s="191"/>
      <c r="BM176" s="315"/>
      <c r="BN176" s="319" t="e">
        <f>IF(BN175=0,0,(BK183-BN175))</f>
        <v>#DIV/0!</v>
      </c>
      <c r="BO176" s="320" t="e">
        <f>IF(BO175=0,0,(BK185-BO175))</f>
        <v>#DIV/0!</v>
      </c>
      <c r="BP176" s="321">
        <f>IF(BP175=0,0,(BK187-BP175))</f>
        <v>0</v>
      </c>
      <c r="BS176" s="206"/>
      <c r="BY176" s="200"/>
      <c r="BZ176" s="249"/>
      <c r="CA176" s="249"/>
      <c r="CB176" s="191"/>
      <c r="CC176" s="315"/>
      <c r="CD176" s="319" t="e">
        <f>IF(CD175=0,0,(CA183-CD175))</f>
        <v>#DIV/0!</v>
      </c>
      <c r="CE176" s="320" t="e">
        <f>IF(CE175=0,0,(CA185-CE175))</f>
        <v>#DIV/0!</v>
      </c>
      <c r="CF176" s="321">
        <f>IF(CF175=0,0,(CA187-CF175))</f>
        <v>0</v>
      </c>
      <c r="CI176" s="206"/>
      <c r="CO176" s="200"/>
      <c r="CP176" s="249"/>
      <c r="CQ176" s="249"/>
      <c r="CR176" s="191"/>
      <c r="CS176" s="315"/>
      <c r="CT176" s="319" t="e">
        <f>IF(CT175=0,0,(CQ183-CT175))</f>
        <v>#DIV/0!</v>
      </c>
      <c r="CU176" s="320" t="e">
        <f>IF(CU175=0,0,(CQ185-CU175))</f>
        <v>#DIV/0!</v>
      </c>
      <c r="CV176" s="321">
        <f>IF(CV175=0,0,(CQ187-CV175))</f>
        <v>0</v>
      </c>
      <c r="CY176" s="206"/>
      <c r="DE176" s="200"/>
      <c r="DF176" s="249"/>
      <c r="DG176" s="249"/>
      <c r="DH176" s="191"/>
      <c r="DI176" s="315"/>
      <c r="DJ176" s="319" t="e">
        <f>IF(DJ175=0,0,(DG183-DJ175))</f>
        <v>#DIV/0!</v>
      </c>
      <c r="DK176" s="320" t="e">
        <f>IF(DK175=0,0,(DG185-DK175))</f>
        <v>#DIV/0!</v>
      </c>
      <c r="DL176" s="321">
        <f>IF(DL175=0,0,(DG187-DL175))</f>
        <v>0</v>
      </c>
      <c r="DO176" s="206"/>
      <c r="DU176" s="200"/>
      <c r="DV176" s="249"/>
      <c r="DW176" s="249"/>
      <c r="DX176" s="191"/>
      <c r="DY176" s="315"/>
      <c r="DZ176" s="319" t="e">
        <f>IF(DZ175=0,0,(DW183-DZ175))</f>
        <v>#DIV/0!</v>
      </c>
      <c r="EA176" s="320" t="e">
        <f>IF(EA175=0,0,(DW185-EA175))</f>
        <v>#DIV/0!</v>
      </c>
      <c r="EB176" s="321">
        <f>IF(EB175=0,0,(DW187-EB175))</f>
        <v>0</v>
      </c>
      <c r="EE176" s="206"/>
      <c r="EK176" s="200"/>
      <c r="EL176" s="249"/>
      <c r="EM176" s="249"/>
      <c r="EN176" s="191"/>
      <c r="EO176" s="315"/>
      <c r="EP176" s="319" t="e">
        <f>IF(EP175=0,0,(EM183-EP175))</f>
        <v>#DIV/0!</v>
      </c>
      <c r="EQ176" s="320" t="e">
        <f>IF(EQ175=0,0,(EM185-EQ175))</f>
        <v>#DIV/0!</v>
      </c>
      <c r="ER176" s="321">
        <f>IF(ER175=0,0,(EM187-ER175))</f>
        <v>0</v>
      </c>
      <c r="EU176" s="206"/>
      <c r="FA176" s="200"/>
      <c r="FB176" s="249"/>
      <c r="FC176" s="249"/>
      <c r="FD176" s="191"/>
      <c r="FE176" s="315"/>
      <c r="FF176" s="319" t="e">
        <f>IF(FF175=0,0,(FC183-FF175))</f>
        <v>#DIV/0!</v>
      </c>
      <c r="FG176" s="320" t="e">
        <f>IF(FG175=0,0,(FC185-FG175))</f>
        <v>#DIV/0!</v>
      </c>
      <c r="FH176" s="321">
        <f>IF(FH175=0,0,(FC187-FH175))</f>
        <v>0</v>
      </c>
      <c r="HI176" s="162"/>
      <c r="HJ176" s="162"/>
      <c r="HK176" s="162"/>
      <c r="HL176" s="162"/>
      <c r="HM176" s="162"/>
      <c r="HN176" s="162"/>
      <c r="HO176" s="162"/>
      <c r="HP176" s="162"/>
      <c r="HQ176" s="162"/>
      <c r="HR176" s="162"/>
      <c r="HS176" s="162"/>
      <c r="HT176" s="162"/>
      <c r="HU176" s="162"/>
      <c r="HV176" s="162"/>
      <c r="HW176" s="162"/>
      <c r="HX176" s="162"/>
      <c r="HY176" s="162"/>
      <c r="HZ176" s="162"/>
      <c r="IA176" s="162"/>
      <c r="IB176" s="162"/>
      <c r="IC176" s="162"/>
      <c r="ID176" s="162"/>
      <c r="IE176" s="162"/>
      <c r="IF176" s="162"/>
      <c r="IG176" s="162"/>
      <c r="IH176" s="162"/>
      <c r="II176" s="162"/>
      <c r="IJ176" s="162"/>
      <c r="IK176" s="162"/>
      <c r="IL176" s="162"/>
      <c r="IM176" s="162"/>
      <c r="IN176" s="162"/>
      <c r="IO176" s="162"/>
      <c r="IP176" s="162"/>
      <c r="IQ176" s="162"/>
      <c r="IR176" s="162"/>
      <c r="IS176" s="162"/>
      <c r="IT176" s="162"/>
      <c r="IU176" s="162"/>
      <c r="IV176" s="162"/>
    </row>
    <row r="177" spans="1:256" s="168" customFormat="1" ht="12.75" x14ac:dyDescent="0.2">
      <c r="A177" s="869"/>
      <c r="B177" s="923"/>
      <c r="C177" s="923"/>
      <c r="D177" s="923"/>
      <c r="E177" s="923"/>
      <c r="F177" s="923"/>
      <c r="G177" s="923"/>
      <c r="H177" s="923"/>
      <c r="I177" s="923"/>
      <c r="J177" s="923"/>
      <c r="K177" s="923"/>
      <c r="L177" s="923"/>
      <c r="M177" s="923"/>
      <c r="N177" s="923"/>
      <c r="O177" s="923"/>
      <c r="P177" s="923"/>
      <c r="Q177" s="912"/>
      <c r="R177" s="913"/>
      <c r="S177" s="167"/>
      <c r="W177" s="206"/>
      <c r="AC177" s="200"/>
      <c r="AD177" s="249"/>
      <c r="AE177" s="249"/>
      <c r="AF177" s="191"/>
      <c r="AG177" s="313" t="s">
        <v>436</v>
      </c>
      <c r="AH177" s="314" t="e">
        <f>IF($D$15=0,0,((AA174+AA175)/100))</f>
        <v>#DIV/0!</v>
      </c>
      <c r="AI177" s="314" t="e">
        <f>IF($D$26=0,0,(AC174+AC175)/100)</f>
        <v>#DIV/0!</v>
      </c>
      <c r="AJ177" s="322"/>
      <c r="AM177" s="206"/>
      <c r="AS177" s="200"/>
      <c r="AT177" s="249"/>
      <c r="AU177" s="249"/>
      <c r="AV177" s="191"/>
      <c r="AW177" s="313" t="s">
        <v>436</v>
      </c>
      <c r="AX177" s="314" t="e">
        <f>IF($D$15=0,0,((AQ174+AQ175)/100))</f>
        <v>#DIV/0!</v>
      </c>
      <c r="AY177" s="314" t="e">
        <f>IF($D$26=0,0,(AS174+AS175)/100)</f>
        <v>#DIV/0!</v>
      </c>
      <c r="AZ177" s="322"/>
      <c r="BC177" s="206"/>
      <c r="BI177" s="200"/>
      <c r="BJ177" s="249"/>
      <c r="BK177" s="249"/>
      <c r="BL177" s="191"/>
      <c r="BM177" s="313" t="s">
        <v>436</v>
      </c>
      <c r="BN177" s="314" t="e">
        <f>IF($D$15=0,0,((BG174+BG175)/100))</f>
        <v>#DIV/0!</v>
      </c>
      <c r="BO177" s="314" t="e">
        <f>IF($D$26=0,0,(BI174+BI175)/100)</f>
        <v>#DIV/0!</v>
      </c>
      <c r="BP177" s="322"/>
      <c r="BS177" s="206"/>
      <c r="BY177" s="200"/>
      <c r="BZ177" s="249"/>
      <c r="CA177" s="249"/>
      <c r="CB177" s="191"/>
      <c r="CC177" s="313" t="s">
        <v>436</v>
      </c>
      <c r="CD177" s="314" t="e">
        <f>IF($D$15=0,0,((BW174+BW175)/100))</f>
        <v>#DIV/0!</v>
      </c>
      <c r="CE177" s="314" t="e">
        <f>IF($D$26=0,0,(BY174+BY175)/100)</f>
        <v>#DIV/0!</v>
      </c>
      <c r="CF177" s="322"/>
      <c r="CI177" s="206"/>
      <c r="CO177" s="200"/>
      <c r="CP177" s="249"/>
      <c r="CQ177" s="249"/>
      <c r="CR177" s="191"/>
      <c r="CS177" s="313" t="s">
        <v>436</v>
      </c>
      <c r="CT177" s="314" t="e">
        <f>IF($D$15=0,0,((CM174+CM175)/100))</f>
        <v>#DIV/0!</v>
      </c>
      <c r="CU177" s="314" t="e">
        <f>IF($D$26=0,0,(CO174+CO175)/100)</f>
        <v>#DIV/0!</v>
      </c>
      <c r="CV177" s="322"/>
      <c r="CY177" s="206"/>
      <c r="DE177" s="200"/>
      <c r="DF177" s="249"/>
      <c r="DG177" s="249"/>
      <c r="DH177" s="191"/>
      <c r="DI177" s="313" t="s">
        <v>436</v>
      </c>
      <c r="DJ177" s="314" t="e">
        <f>IF($D$15=0,0,((DC174+DC175)/100))</f>
        <v>#DIV/0!</v>
      </c>
      <c r="DK177" s="314" t="e">
        <f>IF($D$26=0,0,(DE174+DE175)/100)</f>
        <v>#DIV/0!</v>
      </c>
      <c r="DL177" s="322"/>
      <c r="DO177" s="206"/>
      <c r="DU177" s="200"/>
      <c r="DV177" s="249"/>
      <c r="DW177" s="249"/>
      <c r="DX177" s="191"/>
      <c r="DY177" s="313" t="s">
        <v>436</v>
      </c>
      <c r="DZ177" s="314" t="e">
        <f>IF($D$15=0,0,((DS174+DS175)/100))</f>
        <v>#DIV/0!</v>
      </c>
      <c r="EA177" s="314" t="e">
        <f>IF($D$26=0,0,(DU174+DU175)/100)</f>
        <v>#DIV/0!</v>
      </c>
      <c r="EB177" s="322"/>
      <c r="EE177" s="206"/>
      <c r="EK177" s="200"/>
      <c r="EL177" s="249"/>
      <c r="EM177" s="249"/>
      <c r="EN177" s="191"/>
      <c r="EO177" s="313" t="s">
        <v>436</v>
      </c>
      <c r="EP177" s="314" t="e">
        <f>IF($D$15=0,0,((EI174+EI175)/100))</f>
        <v>#DIV/0!</v>
      </c>
      <c r="EQ177" s="314" t="e">
        <f>IF($D$26=0,0,(EK174+EK175)/100)</f>
        <v>#DIV/0!</v>
      </c>
      <c r="ER177" s="322"/>
      <c r="EU177" s="206"/>
      <c r="FA177" s="200"/>
      <c r="FB177" s="249"/>
      <c r="FC177" s="249"/>
      <c r="FD177" s="191"/>
      <c r="FE177" s="313" t="s">
        <v>436</v>
      </c>
      <c r="FF177" s="314" t="e">
        <f>IF($D$15=0,0,((EY174+EY175)/100))</f>
        <v>#DIV/0!</v>
      </c>
      <c r="FG177" s="314" t="e">
        <f>IF($D$26=0,0,(FA174+FA175)/100)</f>
        <v>#DIV/0!</v>
      </c>
      <c r="FH177" s="322"/>
      <c r="HI177" s="162"/>
      <c r="HJ177" s="162"/>
      <c r="HK177" s="162"/>
      <c r="HL177" s="162"/>
      <c r="HM177" s="162"/>
      <c r="HN177" s="162"/>
      <c r="HO177" s="162"/>
      <c r="HP177" s="162"/>
      <c r="HQ177" s="162"/>
      <c r="HR177" s="162"/>
      <c r="HS177" s="162"/>
      <c r="HT177" s="162"/>
      <c r="HU177" s="162"/>
      <c r="HV177" s="162"/>
      <c r="HW177" s="162"/>
      <c r="HX177" s="162"/>
      <c r="HY177" s="162"/>
      <c r="HZ177" s="162"/>
      <c r="IA177" s="162"/>
      <c r="IB177" s="162"/>
      <c r="IC177" s="162"/>
      <c r="ID177" s="162"/>
      <c r="IE177" s="162"/>
      <c r="IF177" s="162"/>
      <c r="IG177" s="162"/>
      <c r="IH177" s="162"/>
      <c r="II177" s="162"/>
      <c r="IJ177" s="162"/>
      <c r="IK177" s="162"/>
      <c r="IL177" s="162"/>
      <c r="IM177" s="162"/>
      <c r="IN177" s="162"/>
      <c r="IO177" s="162"/>
      <c r="IP177" s="162"/>
      <c r="IQ177" s="162"/>
      <c r="IR177" s="162"/>
      <c r="IS177" s="162"/>
      <c r="IT177" s="162"/>
      <c r="IU177" s="162"/>
      <c r="IV177" s="162"/>
    </row>
    <row r="178" spans="1:256" s="272" customFormat="1" ht="12.75" x14ac:dyDescent="0.2">
      <c r="A178" s="869"/>
      <c r="B178" s="923"/>
      <c r="C178" s="923"/>
      <c r="D178" s="923"/>
      <c r="E178" s="923"/>
      <c r="F178" s="923"/>
      <c r="G178" s="923"/>
      <c r="H178" s="923"/>
      <c r="I178" s="923"/>
      <c r="J178" s="923"/>
      <c r="K178" s="923"/>
      <c r="L178" s="923"/>
      <c r="M178" s="923"/>
      <c r="N178" s="923"/>
      <c r="O178" s="923"/>
      <c r="P178" s="923"/>
      <c r="Q178" s="912"/>
      <c r="R178" s="913"/>
      <c r="S178" s="167"/>
      <c r="T178" s="168"/>
      <c r="U178" s="168"/>
      <c r="V178" s="168"/>
      <c r="W178" s="271"/>
      <c r="AE178" s="273"/>
      <c r="AF178" s="274"/>
      <c r="AG178" s="323" t="s">
        <v>61</v>
      </c>
      <c r="AH178" s="324" t="e">
        <f>SUM(AH177*AC103)</f>
        <v>#DIV/0!</v>
      </c>
      <c r="AI178" s="325" t="e">
        <f>SUM(AI177*AC104)</f>
        <v>#DIV/0!</v>
      </c>
      <c r="AJ178" s="326"/>
      <c r="AK178" s="168"/>
      <c r="AL178" s="168"/>
      <c r="AM178" s="271"/>
      <c r="AU178" s="273"/>
      <c r="AV178" s="274"/>
      <c r="AW178" s="323" t="s">
        <v>61</v>
      </c>
      <c r="AX178" s="324" t="e">
        <f>SUM(AX177*AS103)</f>
        <v>#DIV/0!</v>
      </c>
      <c r="AY178" s="325" t="e">
        <f>SUM(AY177*AS104)</f>
        <v>#DIV/0!</v>
      </c>
      <c r="AZ178" s="326"/>
      <c r="BA178" s="168"/>
      <c r="BB178" s="168"/>
      <c r="BC178" s="271"/>
      <c r="BK178" s="273"/>
      <c r="BL178" s="274"/>
      <c r="BM178" s="323" t="s">
        <v>61</v>
      </c>
      <c r="BN178" s="324" t="e">
        <f>SUM(BN177*BI103)</f>
        <v>#DIV/0!</v>
      </c>
      <c r="BO178" s="325" t="e">
        <f>SUM(BO177*BI104)</f>
        <v>#DIV/0!</v>
      </c>
      <c r="BP178" s="326"/>
      <c r="BQ178" s="168"/>
      <c r="BR178" s="168"/>
      <c r="BS178" s="271"/>
      <c r="CA178" s="273"/>
      <c r="CB178" s="274"/>
      <c r="CC178" s="323" t="s">
        <v>61</v>
      </c>
      <c r="CD178" s="324" t="e">
        <f>SUM(CD177*BY103)</f>
        <v>#DIV/0!</v>
      </c>
      <c r="CE178" s="325" t="e">
        <f>SUM(CE177*BY104)</f>
        <v>#DIV/0!</v>
      </c>
      <c r="CF178" s="326"/>
      <c r="CG178" s="168"/>
      <c r="CH178" s="168"/>
      <c r="CI178" s="271"/>
      <c r="CQ178" s="273"/>
      <c r="CR178" s="274"/>
      <c r="CS178" s="323" t="s">
        <v>61</v>
      </c>
      <c r="CT178" s="324" t="e">
        <f>SUM(CT177*CO103)</f>
        <v>#DIV/0!</v>
      </c>
      <c r="CU178" s="325" t="e">
        <f>SUM(CU177*CO104)</f>
        <v>#DIV/0!</v>
      </c>
      <c r="CV178" s="326"/>
      <c r="CW178" s="168"/>
      <c r="CX178" s="168"/>
      <c r="CY178" s="271"/>
      <c r="DG178" s="273"/>
      <c r="DH178" s="274"/>
      <c r="DI178" s="323" t="s">
        <v>61</v>
      </c>
      <c r="DJ178" s="324" t="e">
        <f>SUM(DJ177*DE103)</f>
        <v>#DIV/0!</v>
      </c>
      <c r="DK178" s="325" t="e">
        <f>SUM(DK177*DE104)</f>
        <v>#DIV/0!</v>
      </c>
      <c r="DL178" s="326"/>
      <c r="DM178" s="168"/>
      <c r="DN178" s="168"/>
      <c r="DO178" s="271"/>
      <c r="DW178" s="273"/>
      <c r="DX178" s="274"/>
      <c r="DY178" s="323" t="s">
        <v>61</v>
      </c>
      <c r="DZ178" s="324" t="e">
        <f>SUM(DZ177*DU103)</f>
        <v>#DIV/0!</v>
      </c>
      <c r="EA178" s="325" t="e">
        <f>SUM(EA177*DU104)</f>
        <v>#DIV/0!</v>
      </c>
      <c r="EB178" s="326"/>
      <c r="EC178" s="168"/>
      <c r="ED178" s="168"/>
      <c r="EE178" s="271"/>
      <c r="EM178" s="273"/>
      <c r="EN178" s="274"/>
      <c r="EO178" s="323" t="s">
        <v>61</v>
      </c>
      <c r="EP178" s="324" t="e">
        <f>SUM(EP177*EK103)</f>
        <v>#DIV/0!</v>
      </c>
      <c r="EQ178" s="325" t="e">
        <f>SUM(EQ177*EK104)</f>
        <v>#DIV/0!</v>
      </c>
      <c r="ER178" s="326"/>
      <c r="ES178" s="168"/>
      <c r="ET178" s="168"/>
      <c r="EU178" s="271"/>
      <c r="FC178" s="273"/>
      <c r="FD178" s="274"/>
      <c r="FE178" s="323" t="s">
        <v>61</v>
      </c>
      <c r="FF178" s="324" t="e">
        <f>SUM(FF177*FA103)</f>
        <v>#DIV/0!</v>
      </c>
      <c r="FG178" s="325" t="e">
        <f>SUM(FG177*FA104)</f>
        <v>#DIV/0!</v>
      </c>
      <c r="FH178" s="326"/>
      <c r="FI178" s="168"/>
      <c r="FJ178" s="168"/>
      <c r="FK178" s="168"/>
      <c r="FL178" s="168"/>
      <c r="FM178" s="168"/>
      <c r="FN178" s="168"/>
      <c r="FO178" s="168"/>
      <c r="FP178" s="168"/>
      <c r="FQ178" s="168"/>
      <c r="FR178" s="168"/>
      <c r="FS178" s="168"/>
      <c r="FT178" s="168"/>
      <c r="FU178" s="168"/>
      <c r="FV178" s="168"/>
      <c r="FW178" s="168"/>
      <c r="FX178" s="168"/>
      <c r="FY178" s="168"/>
      <c r="FZ178" s="168"/>
      <c r="GA178" s="168"/>
      <c r="GB178" s="168"/>
      <c r="GC178" s="168"/>
      <c r="GD178" s="168"/>
      <c r="GE178" s="168"/>
      <c r="GF178" s="168"/>
      <c r="GG178" s="168"/>
      <c r="GH178" s="168"/>
      <c r="GI178" s="168"/>
      <c r="GJ178" s="168"/>
      <c r="GK178" s="168"/>
      <c r="GL178" s="168"/>
      <c r="GM178" s="168"/>
      <c r="GN178" s="168"/>
      <c r="GO178" s="168"/>
      <c r="GP178" s="168"/>
      <c r="GQ178" s="168"/>
      <c r="GR178" s="168"/>
      <c r="GS178" s="168"/>
      <c r="GT178" s="168"/>
      <c r="GU178" s="168"/>
      <c r="GV178" s="168"/>
      <c r="GW178" s="168"/>
      <c r="GX178" s="168"/>
      <c r="GY178" s="168"/>
      <c r="GZ178" s="168"/>
      <c r="HA178" s="168"/>
      <c r="HB178" s="168"/>
      <c r="HC178" s="168"/>
      <c r="HD178" s="168"/>
      <c r="HE178" s="168"/>
      <c r="HF178" s="168"/>
      <c r="HG178" s="168"/>
      <c r="HH178" s="168"/>
      <c r="HI178" s="162"/>
      <c r="HJ178" s="162"/>
      <c r="HK178" s="162"/>
      <c r="HL178" s="162"/>
      <c r="HM178" s="162"/>
      <c r="HN178" s="162"/>
      <c r="HO178" s="162"/>
      <c r="HP178" s="162"/>
      <c r="HQ178" s="162"/>
      <c r="HR178" s="162"/>
      <c r="HS178" s="162"/>
      <c r="HT178" s="162"/>
      <c r="HU178" s="162"/>
      <c r="HV178" s="162"/>
      <c r="HW178" s="162"/>
      <c r="HX178" s="162"/>
      <c r="HY178" s="162"/>
      <c r="HZ178" s="162"/>
      <c r="IA178" s="162"/>
      <c r="IB178" s="162"/>
      <c r="IC178" s="162"/>
      <c r="ID178" s="162"/>
      <c r="IE178" s="162"/>
      <c r="IF178" s="162"/>
      <c r="IG178" s="162"/>
      <c r="IH178" s="162"/>
      <c r="II178" s="162"/>
      <c r="IJ178" s="162"/>
      <c r="IK178" s="162"/>
      <c r="IL178" s="162"/>
      <c r="IM178" s="162"/>
      <c r="IN178" s="162"/>
      <c r="IO178" s="162"/>
      <c r="IP178" s="162"/>
      <c r="IQ178" s="162"/>
      <c r="IR178" s="162"/>
      <c r="IS178" s="162"/>
      <c r="IT178" s="162"/>
      <c r="IU178" s="162"/>
      <c r="IV178" s="162"/>
    </row>
    <row r="179" spans="1:256" s="272" customFormat="1" ht="12.75" x14ac:dyDescent="0.2">
      <c r="A179" s="869"/>
      <c r="B179" s="923"/>
      <c r="C179" s="923"/>
      <c r="D179" s="923"/>
      <c r="E179" s="923"/>
      <c r="F179" s="923"/>
      <c r="G179" s="923"/>
      <c r="H179" s="923"/>
      <c r="I179" s="923"/>
      <c r="J179" s="923"/>
      <c r="K179" s="923"/>
      <c r="L179" s="923"/>
      <c r="M179" s="923"/>
      <c r="N179" s="923"/>
      <c r="O179" s="923"/>
      <c r="P179" s="923"/>
      <c r="Q179" s="912"/>
      <c r="R179" s="913"/>
      <c r="S179" s="167"/>
      <c r="T179" s="168"/>
      <c r="U179" s="168"/>
      <c r="V179" s="168"/>
      <c r="W179" s="271"/>
      <c r="AE179" s="273"/>
      <c r="AF179" s="274"/>
      <c r="AG179" s="323"/>
      <c r="AH179" s="319" t="e">
        <f>IF(AH178=0,0,(AE183-AH178))</f>
        <v>#DIV/0!</v>
      </c>
      <c r="AI179" s="320" t="e">
        <f>IF(AI178=0,0,(AE185-AI178))</f>
        <v>#DIV/0!</v>
      </c>
      <c r="AJ179" s="326"/>
      <c r="AK179" s="168"/>
      <c r="AL179" s="168"/>
      <c r="AM179" s="271"/>
      <c r="AU179" s="273"/>
      <c r="AV179" s="274"/>
      <c r="AW179" s="323"/>
      <c r="AX179" s="319" t="e">
        <f>IF(AX178=0,0,(AU183-AX178))</f>
        <v>#DIV/0!</v>
      </c>
      <c r="AY179" s="320" t="e">
        <f>IF(AY178=0,0,(AU185-AY178))</f>
        <v>#DIV/0!</v>
      </c>
      <c r="AZ179" s="326"/>
      <c r="BA179" s="168"/>
      <c r="BB179" s="168"/>
      <c r="BC179" s="271"/>
      <c r="BK179" s="273"/>
      <c r="BL179" s="274"/>
      <c r="BM179" s="323"/>
      <c r="BN179" s="319" t="e">
        <f>IF(BN178=0,0,(BK183-BN178))</f>
        <v>#DIV/0!</v>
      </c>
      <c r="BO179" s="320" t="e">
        <f>IF(BO178=0,0,(BK185-BO178))</f>
        <v>#DIV/0!</v>
      </c>
      <c r="BP179" s="326"/>
      <c r="BQ179" s="168"/>
      <c r="BR179" s="168"/>
      <c r="BS179" s="271"/>
      <c r="CA179" s="273"/>
      <c r="CB179" s="274"/>
      <c r="CC179" s="323"/>
      <c r="CD179" s="319" t="e">
        <f>IF(CD178=0,0,(CA183-CD178))</f>
        <v>#DIV/0!</v>
      </c>
      <c r="CE179" s="320" t="e">
        <f>IF(CE178=0,0,(CA185-CE178))</f>
        <v>#DIV/0!</v>
      </c>
      <c r="CF179" s="326"/>
      <c r="CG179" s="168"/>
      <c r="CH179" s="168"/>
      <c r="CI179" s="271"/>
      <c r="CQ179" s="273"/>
      <c r="CR179" s="274"/>
      <c r="CS179" s="323"/>
      <c r="CT179" s="319" t="e">
        <f>IF(CT178=0,0,(CQ183-CT178))</f>
        <v>#DIV/0!</v>
      </c>
      <c r="CU179" s="320" t="e">
        <f>IF(CU178=0,0,(CQ185-CU178))</f>
        <v>#DIV/0!</v>
      </c>
      <c r="CV179" s="326"/>
      <c r="CW179" s="168"/>
      <c r="CX179" s="168"/>
      <c r="CY179" s="271"/>
      <c r="DG179" s="273"/>
      <c r="DH179" s="274"/>
      <c r="DI179" s="323"/>
      <c r="DJ179" s="319" t="e">
        <f>IF(DJ178=0,0,(DG183-DJ178))</f>
        <v>#DIV/0!</v>
      </c>
      <c r="DK179" s="320" t="e">
        <f>IF(DK178=0,0,(DG185-DK178))</f>
        <v>#DIV/0!</v>
      </c>
      <c r="DL179" s="326"/>
      <c r="DM179" s="168"/>
      <c r="DN179" s="168"/>
      <c r="DO179" s="271"/>
      <c r="DW179" s="273"/>
      <c r="DX179" s="274"/>
      <c r="DY179" s="323"/>
      <c r="DZ179" s="319" t="e">
        <f>IF(DZ178=0,0,(DW183-DZ178))</f>
        <v>#DIV/0!</v>
      </c>
      <c r="EA179" s="320" t="e">
        <f>IF(EA178=0,0,(DW185-EA178))</f>
        <v>#DIV/0!</v>
      </c>
      <c r="EB179" s="326"/>
      <c r="EC179" s="168"/>
      <c r="ED179" s="168"/>
      <c r="EE179" s="271"/>
      <c r="EM179" s="273"/>
      <c r="EN179" s="274"/>
      <c r="EO179" s="323"/>
      <c r="EP179" s="319" t="e">
        <f>IF(EP178=0,0,(EM183-EP178))</f>
        <v>#DIV/0!</v>
      </c>
      <c r="EQ179" s="320" t="e">
        <f>IF(EQ178=0,0,(EM185-EQ178))</f>
        <v>#DIV/0!</v>
      </c>
      <c r="ER179" s="326"/>
      <c r="ES179" s="168"/>
      <c r="ET179" s="168"/>
      <c r="EU179" s="271"/>
      <c r="FC179" s="273"/>
      <c r="FD179" s="274"/>
      <c r="FE179" s="323"/>
      <c r="FF179" s="319" t="e">
        <f>IF(FF178=0,0,(FC183-FF178))</f>
        <v>#DIV/0!</v>
      </c>
      <c r="FG179" s="320" t="e">
        <f>IF(FG178=0,0,(FC185-FG178))</f>
        <v>#DIV/0!</v>
      </c>
      <c r="FH179" s="326"/>
      <c r="FI179" s="168"/>
      <c r="FJ179" s="168"/>
      <c r="FK179" s="168"/>
      <c r="FL179" s="168"/>
      <c r="FM179" s="168"/>
      <c r="FN179" s="168"/>
      <c r="FO179" s="168"/>
      <c r="FP179" s="168"/>
      <c r="FQ179" s="168"/>
      <c r="FR179" s="168"/>
      <c r="FS179" s="168"/>
      <c r="FT179" s="168"/>
      <c r="FU179" s="168"/>
      <c r="FV179" s="168"/>
      <c r="FW179" s="168"/>
      <c r="FX179" s="168"/>
      <c r="FY179" s="168"/>
      <c r="FZ179" s="168"/>
      <c r="GA179" s="168"/>
      <c r="GB179" s="168"/>
      <c r="GC179" s="168"/>
      <c r="GD179" s="168"/>
      <c r="GE179" s="168"/>
      <c r="GF179" s="168"/>
      <c r="GG179" s="168"/>
      <c r="GH179" s="168"/>
      <c r="GI179" s="168"/>
      <c r="GJ179" s="168"/>
      <c r="GK179" s="168"/>
      <c r="GL179" s="168"/>
      <c r="GM179" s="168"/>
      <c r="GN179" s="168"/>
      <c r="GO179" s="168"/>
      <c r="GP179" s="168"/>
      <c r="GQ179" s="168"/>
      <c r="GR179" s="168"/>
      <c r="GS179" s="168"/>
      <c r="GT179" s="168"/>
      <c r="GU179" s="168"/>
      <c r="GV179" s="168"/>
      <c r="GW179" s="168"/>
      <c r="GX179" s="168"/>
      <c r="GY179" s="168"/>
      <c r="GZ179" s="168"/>
      <c r="HA179" s="168"/>
      <c r="HB179" s="168"/>
      <c r="HC179" s="168"/>
      <c r="HD179" s="168"/>
      <c r="HE179" s="168"/>
      <c r="HF179" s="168"/>
      <c r="HG179" s="168"/>
      <c r="HH179" s="168"/>
      <c r="HI179" s="162"/>
      <c r="HJ179" s="162"/>
      <c r="HK179" s="162"/>
      <c r="HL179" s="162"/>
      <c r="HM179" s="162"/>
      <c r="HN179" s="162"/>
      <c r="HO179" s="162"/>
      <c r="HP179" s="162"/>
      <c r="HQ179" s="162"/>
      <c r="HR179" s="162"/>
      <c r="HS179" s="162"/>
      <c r="HT179" s="162"/>
      <c r="HU179" s="162"/>
      <c r="HV179" s="162"/>
      <c r="HW179" s="162"/>
      <c r="HX179" s="162"/>
      <c r="HY179" s="162"/>
      <c r="HZ179" s="162"/>
      <c r="IA179" s="162"/>
      <c r="IB179" s="162"/>
      <c r="IC179" s="162"/>
      <c r="ID179" s="162"/>
      <c r="IE179" s="162"/>
      <c r="IF179" s="162"/>
      <c r="IG179" s="162"/>
      <c r="IH179" s="162"/>
      <c r="II179" s="162"/>
      <c r="IJ179" s="162"/>
      <c r="IK179" s="162"/>
      <c r="IL179" s="162"/>
      <c r="IM179" s="162"/>
      <c r="IN179" s="162"/>
      <c r="IO179" s="162"/>
      <c r="IP179" s="162"/>
      <c r="IQ179" s="162"/>
      <c r="IR179" s="162"/>
      <c r="IS179" s="162"/>
      <c r="IT179" s="162"/>
      <c r="IU179" s="162"/>
      <c r="IV179" s="162"/>
    </row>
    <row r="180" spans="1:256" s="328" customFormat="1" ht="12.75" customHeight="1" x14ac:dyDescent="0.2">
      <c r="A180" s="869"/>
      <c r="B180" s="923"/>
      <c r="C180" s="923"/>
      <c r="D180" s="923"/>
      <c r="E180" s="923"/>
      <c r="F180" s="923"/>
      <c r="G180" s="923"/>
      <c r="H180" s="923"/>
      <c r="I180" s="923"/>
      <c r="J180" s="923"/>
      <c r="K180" s="923"/>
      <c r="L180" s="923"/>
      <c r="M180" s="923"/>
      <c r="N180" s="923"/>
      <c r="O180" s="923"/>
      <c r="P180" s="923"/>
      <c r="Q180" s="912"/>
      <c r="R180" s="913"/>
      <c r="S180" s="167"/>
      <c r="T180" s="168"/>
      <c r="U180" s="168"/>
      <c r="V180" s="168"/>
      <c r="W180" s="916" t="s">
        <v>437</v>
      </c>
      <c r="X180" s="916"/>
      <c r="Y180" s="916"/>
      <c r="Z180" s="916"/>
      <c r="AA180" s="916"/>
      <c r="AB180" s="916"/>
      <c r="AC180" s="916"/>
      <c r="AD180" s="916"/>
      <c r="AE180" s="916"/>
      <c r="AF180" s="916"/>
      <c r="AG180" s="916"/>
      <c r="AH180" s="916"/>
      <c r="AI180" s="916"/>
      <c r="AJ180" s="916"/>
      <c r="AK180" s="168"/>
      <c r="AL180" s="168"/>
      <c r="AM180" s="916" t="s">
        <v>437</v>
      </c>
      <c r="AN180" s="916"/>
      <c r="AO180" s="916"/>
      <c r="AP180" s="916"/>
      <c r="AQ180" s="916"/>
      <c r="AR180" s="916"/>
      <c r="AS180" s="916"/>
      <c r="AT180" s="916"/>
      <c r="AU180" s="916"/>
      <c r="AV180" s="916"/>
      <c r="AW180" s="916"/>
      <c r="AX180" s="916"/>
      <c r="AY180" s="916"/>
      <c r="AZ180" s="916"/>
      <c r="BA180" s="168"/>
      <c r="BB180" s="168"/>
      <c r="BC180" s="916" t="s">
        <v>437</v>
      </c>
      <c r="BD180" s="916"/>
      <c r="BE180" s="916"/>
      <c r="BF180" s="916"/>
      <c r="BG180" s="916"/>
      <c r="BH180" s="916"/>
      <c r="BI180" s="916"/>
      <c r="BJ180" s="916"/>
      <c r="BK180" s="916"/>
      <c r="BL180" s="916"/>
      <c r="BM180" s="916"/>
      <c r="BN180" s="916"/>
      <c r="BO180" s="916"/>
      <c r="BP180" s="916"/>
      <c r="BQ180" s="168"/>
      <c r="BR180" s="168"/>
      <c r="BS180" s="916" t="s">
        <v>437</v>
      </c>
      <c r="BT180" s="916"/>
      <c r="BU180" s="916"/>
      <c r="BV180" s="916"/>
      <c r="BW180" s="916"/>
      <c r="BX180" s="916"/>
      <c r="BY180" s="916"/>
      <c r="BZ180" s="916"/>
      <c r="CA180" s="916"/>
      <c r="CB180" s="916"/>
      <c r="CC180" s="916"/>
      <c r="CD180" s="916"/>
      <c r="CE180" s="916"/>
      <c r="CF180" s="916"/>
      <c r="CG180" s="168"/>
      <c r="CH180" s="168"/>
      <c r="CI180" s="916" t="s">
        <v>437</v>
      </c>
      <c r="CJ180" s="916"/>
      <c r="CK180" s="916"/>
      <c r="CL180" s="916"/>
      <c r="CM180" s="916"/>
      <c r="CN180" s="916"/>
      <c r="CO180" s="916"/>
      <c r="CP180" s="916"/>
      <c r="CQ180" s="916"/>
      <c r="CR180" s="916"/>
      <c r="CS180" s="916"/>
      <c r="CT180" s="916"/>
      <c r="CU180" s="916"/>
      <c r="CV180" s="916"/>
      <c r="CW180" s="168"/>
      <c r="CX180" s="168"/>
      <c r="CY180" s="916" t="s">
        <v>437</v>
      </c>
      <c r="CZ180" s="916"/>
      <c r="DA180" s="916"/>
      <c r="DB180" s="916"/>
      <c r="DC180" s="916"/>
      <c r="DD180" s="916"/>
      <c r="DE180" s="916"/>
      <c r="DF180" s="916"/>
      <c r="DG180" s="916"/>
      <c r="DH180" s="916"/>
      <c r="DI180" s="916"/>
      <c r="DJ180" s="916"/>
      <c r="DK180" s="916"/>
      <c r="DL180" s="916"/>
      <c r="DM180" s="168"/>
      <c r="DN180" s="168"/>
      <c r="DO180" s="916" t="s">
        <v>437</v>
      </c>
      <c r="DP180" s="916"/>
      <c r="DQ180" s="916"/>
      <c r="DR180" s="916"/>
      <c r="DS180" s="916"/>
      <c r="DT180" s="916"/>
      <c r="DU180" s="916"/>
      <c r="DV180" s="916"/>
      <c r="DW180" s="916"/>
      <c r="DX180" s="916"/>
      <c r="DY180" s="916"/>
      <c r="DZ180" s="916"/>
      <c r="EA180" s="916"/>
      <c r="EB180" s="916"/>
      <c r="EC180" s="168"/>
      <c r="ED180" s="168"/>
      <c r="EE180" s="916" t="s">
        <v>437</v>
      </c>
      <c r="EF180" s="916"/>
      <c r="EG180" s="916"/>
      <c r="EH180" s="916"/>
      <c r="EI180" s="916"/>
      <c r="EJ180" s="916"/>
      <c r="EK180" s="916"/>
      <c r="EL180" s="916"/>
      <c r="EM180" s="916"/>
      <c r="EN180" s="916"/>
      <c r="EO180" s="916"/>
      <c r="EP180" s="916"/>
      <c r="EQ180" s="916"/>
      <c r="ER180" s="916"/>
      <c r="ES180" s="168"/>
      <c r="ET180" s="168"/>
      <c r="EU180" s="916" t="s">
        <v>437</v>
      </c>
      <c r="EV180" s="916"/>
      <c r="EW180" s="916"/>
      <c r="EX180" s="916"/>
      <c r="EY180" s="916"/>
      <c r="EZ180" s="916"/>
      <c r="FA180" s="916"/>
      <c r="FB180" s="916"/>
      <c r="FC180" s="916"/>
      <c r="FD180" s="916"/>
      <c r="FE180" s="916"/>
      <c r="FF180" s="916"/>
      <c r="FG180" s="916"/>
      <c r="FH180" s="916"/>
      <c r="FI180" s="168"/>
      <c r="FJ180" s="168"/>
      <c r="FK180" s="168"/>
      <c r="FL180" s="168"/>
      <c r="FM180" s="168"/>
      <c r="FN180" s="168"/>
      <c r="FO180" s="168"/>
      <c r="FP180" s="168"/>
      <c r="FQ180" s="168"/>
      <c r="FR180" s="168"/>
      <c r="FS180" s="168"/>
      <c r="FT180" s="168"/>
      <c r="FU180" s="168"/>
      <c r="FV180" s="168"/>
      <c r="FW180" s="168"/>
      <c r="FX180" s="168"/>
      <c r="FY180" s="168"/>
      <c r="FZ180" s="168"/>
      <c r="GA180" s="168"/>
      <c r="GB180" s="168"/>
      <c r="GC180" s="168"/>
      <c r="GD180" s="168"/>
      <c r="GE180" s="168"/>
      <c r="GF180" s="168"/>
      <c r="GG180" s="168"/>
      <c r="GH180" s="168"/>
      <c r="GI180" s="168"/>
      <c r="GJ180" s="168"/>
      <c r="GK180" s="168"/>
      <c r="GL180" s="168"/>
      <c r="GM180" s="168"/>
      <c r="GN180" s="168"/>
      <c r="GO180" s="168"/>
      <c r="GP180" s="168"/>
      <c r="GQ180" s="168"/>
      <c r="GR180" s="168"/>
      <c r="GS180" s="168"/>
      <c r="GT180" s="168"/>
      <c r="GU180" s="168"/>
      <c r="GV180" s="168"/>
      <c r="GW180" s="168"/>
      <c r="GX180" s="168"/>
      <c r="GY180" s="168"/>
      <c r="GZ180" s="168"/>
      <c r="HA180" s="168"/>
      <c r="HB180" s="168"/>
      <c r="HC180" s="168"/>
      <c r="HD180" s="168"/>
      <c r="HE180" s="168"/>
      <c r="HF180" s="168"/>
      <c r="HG180" s="168"/>
      <c r="HH180" s="168"/>
      <c r="HI180" s="162"/>
      <c r="HJ180" s="162"/>
      <c r="HK180" s="162"/>
      <c r="HL180" s="162"/>
      <c r="HM180" s="162"/>
      <c r="HN180" s="162"/>
      <c r="HO180" s="162"/>
      <c r="HP180" s="162"/>
      <c r="HQ180" s="162"/>
      <c r="HR180" s="162"/>
      <c r="HS180" s="162"/>
      <c r="HT180" s="162"/>
      <c r="HU180" s="162"/>
      <c r="HV180" s="162"/>
      <c r="HW180" s="162"/>
      <c r="HX180" s="162"/>
      <c r="HY180" s="162"/>
      <c r="HZ180" s="162"/>
      <c r="IA180" s="162"/>
      <c r="IB180" s="162"/>
      <c r="IC180" s="162"/>
      <c r="ID180" s="162"/>
      <c r="IE180" s="162"/>
      <c r="IF180" s="162"/>
      <c r="IG180" s="162"/>
      <c r="IH180" s="162"/>
      <c r="II180" s="162"/>
      <c r="IJ180" s="162"/>
      <c r="IK180" s="162"/>
      <c r="IL180" s="162"/>
      <c r="IM180" s="162"/>
      <c r="IN180" s="162"/>
      <c r="IO180" s="162"/>
      <c r="IP180" s="162"/>
      <c r="IQ180" s="162"/>
      <c r="IR180" s="162"/>
      <c r="IS180" s="162"/>
      <c r="IT180" s="162"/>
      <c r="IU180" s="162"/>
      <c r="IV180" s="162"/>
    </row>
    <row r="181" spans="1:256" s="332" customFormat="1" x14ac:dyDescent="0.2">
      <c r="A181" s="869"/>
      <c r="B181" s="923"/>
      <c r="C181" s="923"/>
      <c r="D181" s="923"/>
      <c r="E181" s="923"/>
      <c r="F181" s="923"/>
      <c r="G181" s="923"/>
      <c r="H181" s="923"/>
      <c r="I181" s="923"/>
      <c r="J181" s="923"/>
      <c r="K181" s="923"/>
      <c r="L181" s="923"/>
      <c r="M181" s="923"/>
      <c r="N181" s="923"/>
      <c r="O181" s="923"/>
      <c r="P181" s="923"/>
      <c r="Q181" s="912"/>
      <c r="R181" s="913"/>
      <c r="S181" s="167"/>
      <c r="T181" s="168"/>
      <c r="U181" s="168"/>
      <c r="V181" s="168"/>
      <c r="AK181" s="168"/>
      <c r="AL181" s="168"/>
      <c r="BA181" s="168"/>
      <c r="BB181" s="168"/>
      <c r="BQ181" s="168"/>
      <c r="BR181" s="168"/>
      <c r="CG181" s="168"/>
      <c r="CH181" s="168"/>
      <c r="CW181" s="168"/>
      <c r="CX181" s="168"/>
      <c r="DM181" s="168"/>
      <c r="DN181" s="168"/>
      <c r="EC181" s="168"/>
      <c r="ED181" s="168"/>
      <c r="ES181" s="168"/>
      <c r="ET181" s="168"/>
      <c r="FI181" s="168"/>
      <c r="FJ181" s="168"/>
      <c r="FK181" s="168"/>
      <c r="FL181" s="168"/>
      <c r="FM181" s="168"/>
      <c r="FN181" s="168"/>
      <c r="FO181" s="168"/>
      <c r="FP181" s="168"/>
      <c r="FQ181" s="168"/>
      <c r="FR181" s="168"/>
      <c r="FS181" s="168"/>
      <c r="FT181" s="168"/>
      <c r="FU181" s="168"/>
      <c r="FV181" s="168"/>
      <c r="FW181" s="168"/>
      <c r="FX181" s="168"/>
      <c r="FY181" s="168"/>
      <c r="FZ181" s="168"/>
      <c r="GA181" s="168"/>
      <c r="GB181" s="168"/>
      <c r="GC181" s="168"/>
      <c r="GD181" s="168"/>
      <c r="GE181" s="168"/>
      <c r="GF181" s="168"/>
      <c r="GG181" s="168"/>
      <c r="GH181" s="168"/>
      <c r="GI181" s="168"/>
      <c r="GJ181" s="168"/>
      <c r="GK181" s="168"/>
      <c r="GL181" s="168"/>
      <c r="GM181" s="168"/>
      <c r="GN181" s="168"/>
      <c r="GO181" s="168"/>
      <c r="GP181" s="168"/>
      <c r="GQ181" s="168"/>
      <c r="GR181" s="168"/>
      <c r="GS181" s="168"/>
      <c r="GT181" s="168"/>
      <c r="GU181" s="168"/>
      <c r="GV181" s="168"/>
      <c r="GW181" s="168"/>
      <c r="GX181" s="168"/>
      <c r="GY181" s="168"/>
      <c r="GZ181" s="168"/>
      <c r="HA181" s="168"/>
      <c r="HB181" s="168"/>
      <c r="HC181" s="168"/>
      <c r="HD181" s="168"/>
      <c r="HE181" s="168"/>
      <c r="HF181" s="168"/>
      <c r="HG181" s="168"/>
      <c r="HH181" s="168"/>
      <c r="HI181" s="162"/>
      <c r="HJ181" s="162"/>
      <c r="HK181" s="162"/>
      <c r="HL181" s="162"/>
      <c r="HM181" s="162"/>
      <c r="HN181" s="162"/>
      <c r="HO181" s="162"/>
      <c r="HP181" s="162"/>
      <c r="HQ181" s="162"/>
      <c r="HR181" s="162"/>
      <c r="HS181" s="162"/>
      <c r="HT181" s="162"/>
      <c r="HU181" s="162"/>
      <c r="HV181" s="162"/>
      <c r="HW181" s="162"/>
      <c r="HX181" s="162"/>
      <c r="HY181" s="162"/>
      <c r="HZ181" s="162"/>
      <c r="IA181" s="162"/>
      <c r="IB181" s="162"/>
      <c r="IC181" s="162"/>
      <c r="ID181" s="162"/>
      <c r="IE181" s="162"/>
      <c r="IF181" s="162"/>
      <c r="IG181" s="162"/>
      <c r="IH181" s="162"/>
      <c r="II181" s="162"/>
      <c r="IJ181" s="162"/>
      <c r="IK181" s="162"/>
      <c r="IL181" s="162"/>
      <c r="IM181" s="162"/>
      <c r="IN181" s="162"/>
      <c r="IO181" s="162"/>
      <c r="IP181" s="162"/>
      <c r="IQ181" s="162"/>
      <c r="IR181" s="162"/>
      <c r="IS181" s="162"/>
      <c r="IT181" s="162"/>
      <c r="IU181" s="162"/>
      <c r="IV181" s="162"/>
    </row>
    <row r="182" spans="1:256" s="168" customFormat="1" x14ac:dyDescent="0.2">
      <c r="A182" s="869"/>
      <c r="B182" s="923"/>
      <c r="C182" s="923"/>
      <c r="D182" s="923"/>
      <c r="E182" s="923"/>
      <c r="F182" s="923"/>
      <c r="G182" s="923"/>
      <c r="H182" s="923"/>
      <c r="I182" s="923"/>
      <c r="J182" s="923"/>
      <c r="K182" s="923"/>
      <c r="L182" s="923"/>
      <c r="M182" s="923"/>
      <c r="N182" s="923"/>
      <c r="O182" s="923"/>
      <c r="P182" s="923"/>
      <c r="Q182" s="912"/>
      <c r="R182" s="913"/>
      <c r="S182" s="167"/>
      <c r="HI182" s="162"/>
      <c r="HJ182" s="162"/>
      <c r="HK182" s="162"/>
      <c r="HL182" s="162"/>
      <c r="HM182" s="162"/>
      <c r="HN182" s="162"/>
      <c r="HO182" s="162"/>
      <c r="HP182" s="162"/>
      <c r="HQ182" s="162"/>
      <c r="HR182" s="162"/>
      <c r="HS182" s="162"/>
      <c r="HT182" s="162"/>
      <c r="HU182" s="162"/>
      <c r="HV182" s="162"/>
      <c r="HW182" s="162"/>
      <c r="HX182" s="162"/>
      <c r="HY182" s="162"/>
      <c r="HZ182" s="162"/>
      <c r="IA182" s="162"/>
      <c r="IB182" s="162"/>
      <c r="IC182" s="162"/>
      <c r="ID182" s="162"/>
      <c r="IE182" s="162"/>
      <c r="IF182" s="162"/>
      <c r="IG182" s="162"/>
      <c r="IH182" s="162"/>
      <c r="II182" s="162"/>
      <c r="IJ182" s="162"/>
      <c r="IK182" s="162"/>
      <c r="IL182" s="162"/>
      <c r="IM182" s="162"/>
      <c r="IN182" s="162"/>
      <c r="IO182" s="162"/>
      <c r="IP182" s="162"/>
      <c r="IQ182" s="162"/>
      <c r="IR182" s="162"/>
      <c r="IS182" s="162"/>
      <c r="IT182" s="162"/>
      <c r="IU182" s="162"/>
      <c r="IV182" s="162"/>
    </row>
    <row r="183" spans="1:256" s="168" customFormat="1" ht="12.75" x14ac:dyDescent="0.2">
      <c r="A183" s="869"/>
      <c r="B183" s="923"/>
      <c r="C183" s="923"/>
      <c r="D183" s="923"/>
      <c r="E183" s="923"/>
      <c r="F183" s="923"/>
      <c r="G183" s="923"/>
      <c r="H183" s="923"/>
      <c r="I183" s="923"/>
      <c r="J183" s="923"/>
      <c r="K183" s="923"/>
      <c r="L183" s="923"/>
      <c r="M183" s="923"/>
      <c r="N183" s="923"/>
      <c r="O183" s="923"/>
      <c r="P183" s="923"/>
      <c r="Q183" s="912"/>
      <c r="R183" s="913"/>
      <c r="S183" s="167"/>
      <c r="AB183" s="168">
        <f>AC103</f>
        <v>500</v>
      </c>
      <c r="AC183" s="168">
        <f>GW85</f>
        <v>0</v>
      </c>
      <c r="AD183" s="304">
        <f>$AT$85</f>
        <v>0</v>
      </c>
      <c r="AE183" s="168">
        <f>SUM(AB183*AD183)</f>
        <v>0</v>
      </c>
      <c r="AH183" s="304" t="e">
        <f>SUM(AE183-AH175)</f>
        <v>#DIV/0!</v>
      </c>
      <c r="AI183" s="249"/>
      <c r="AR183" s="168">
        <f>AS103</f>
        <v>525</v>
      </c>
      <c r="AS183" s="168">
        <f>AC183</f>
        <v>0</v>
      </c>
      <c r="AT183" s="304">
        <f>$AT$85</f>
        <v>0</v>
      </c>
      <c r="AU183" s="168">
        <f>SUM(AR183*AT183)</f>
        <v>0</v>
      </c>
      <c r="AX183" s="304" t="e">
        <f>SUM(AU183-AX175)</f>
        <v>#DIV/0!</v>
      </c>
      <c r="AY183" s="249"/>
      <c r="BH183" s="168">
        <f>BI103</f>
        <v>550</v>
      </c>
      <c r="BI183" s="168">
        <f>AS183</f>
        <v>0</v>
      </c>
      <c r="BJ183" s="304">
        <f>$AT$85</f>
        <v>0</v>
      </c>
      <c r="BK183" s="168">
        <f>SUM(BH183*BJ183)</f>
        <v>0</v>
      </c>
      <c r="BN183" s="304" t="e">
        <f>SUM(BK183-BN175)</f>
        <v>#DIV/0!</v>
      </c>
      <c r="BO183" s="249"/>
      <c r="BX183" s="168">
        <f>BY103</f>
        <v>575</v>
      </c>
      <c r="BY183" s="168">
        <f>BI183</f>
        <v>0</v>
      </c>
      <c r="BZ183" s="304">
        <f>$AT$85</f>
        <v>0</v>
      </c>
      <c r="CA183" s="168">
        <f>SUM(BX183*BZ183)</f>
        <v>0</v>
      </c>
      <c r="CD183" s="304" t="e">
        <f>SUM(CA183-CD175)</f>
        <v>#DIV/0!</v>
      </c>
      <c r="CE183" s="249"/>
      <c r="CN183" s="168">
        <f>CO103</f>
        <v>600</v>
      </c>
      <c r="CO183" s="168">
        <f>BY183</f>
        <v>0</v>
      </c>
      <c r="CP183" s="304">
        <f>$AT$85</f>
        <v>0</v>
      </c>
      <c r="CQ183" s="168">
        <f>SUM(CN183*CP183)</f>
        <v>0</v>
      </c>
      <c r="CT183" s="304" t="e">
        <f>SUM(CQ183-CT175)</f>
        <v>#DIV/0!</v>
      </c>
      <c r="CU183" s="249"/>
      <c r="DD183" s="168">
        <f>DE103</f>
        <v>625</v>
      </c>
      <c r="DE183" s="168">
        <f>CO183</f>
        <v>0</v>
      </c>
      <c r="DF183" s="304">
        <f>$AT$85</f>
        <v>0</v>
      </c>
      <c r="DG183" s="168">
        <f>SUM(DD183*DF183)</f>
        <v>0</v>
      </c>
      <c r="DJ183" s="304" t="e">
        <f>SUM(DG183-DJ175)</f>
        <v>#DIV/0!</v>
      </c>
      <c r="DK183" s="249"/>
      <c r="DT183" s="168">
        <f>DU103</f>
        <v>650</v>
      </c>
      <c r="DU183" s="168">
        <f>DE183</f>
        <v>0</v>
      </c>
      <c r="DV183" s="304">
        <f>$AT$85</f>
        <v>0</v>
      </c>
      <c r="DW183" s="168">
        <f>SUM(DT183*DV183)</f>
        <v>0</v>
      </c>
      <c r="DZ183" s="304" t="e">
        <f>SUM(DW183-DZ175)</f>
        <v>#DIV/0!</v>
      </c>
      <c r="EA183" s="249"/>
      <c r="EJ183" s="168">
        <f>EK103</f>
        <v>675</v>
      </c>
      <c r="EK183" s="168">
        <f>DU183</f>
        <v>0</v>
      </c>
      <c r="EL183" s="304">
        <f>$AT$85</f>
        <v>0</v>
      </c>
      <c r="EM183" s="168">
        <f>SUM(EJ183*EL183)</f>
        <v>0</v>
      </c>
      <c r="EP183" s="304" t="e">
        <f>SUM(EM183-EP175)</f>
        <v>#DIV/0!</v>
      </c>
      <c r="EQ183" s="249"/>
      <c r="EZ183" s="168">
        <f>FA103</f>
        <v>700</v>
      </c>
      <c r="FA183" s="168">
        <f>EK183</f>
        <v>0</v>
      </c>
      <c r="FB183" s="304">
        <f>$AT$85</f>
        <v>0</v>
      </c>
      <c r="FC183" s="168">
        <f>SUM(EZ183*FB183)</f>
        <v>0</v>
      </c>
      <c r="FF183" s="304" t="e">
        <f>SUM(FC183-FF175)</f>
        <v>#DIV/0!</v>
      </c>
      <c r="FG183" s="249"/>
      <c r="HI183" s="162"/>
      <c r="HJ183" s="162"/>
      <c r="HK183" s="162"/>
      <c r="HL183" s="162"/>
      <c r="HM183" s="162"/>
      <c r="HN183" s="162"/>
      <c r="HO183" s="162"/>
      <c r="HP183" s="162"/>
      <c r="HQ183" s="162"/>
      <c r="HR183" s="162"/>
      <c r="HS183" s="162"/>
      <c r="HT183" s="162"/>
      <c r="HU183" s="162"/>
      <c r="HV183" s="162"/>
      <c r="HW183" s="162"/>
      <c r="HX183" s="162"/>
      <c r="HY183" s="162"/>
      <c r="HZ183" s="162"/>
      <c r="IA183" s="162"/>
      <c r="IB183" s="162"/>
      <c r="IC183" s="162"/>
      <c r="ID183" s="162"/>
      <c r="IE183" s="162"/>
      <c r="IF183" s="162"/>
      <c r="IG183" s="162"/>
      <c r="IH183" s="162"/>
      <c r="II183" s="162"/>
      <c r="IJ183" s="162"/>
      <c r="IK183" s="162"/>
      <c r="IL183" s="162"/>
      <c r="IM183" s="162"/>
      <c r="IN183" s="162"/>
      <c r="IO183" s="162"/>
      <c r="IP183" s="162"/>
      <c r="IQ183" s="162"/>
      <c r="IR183" s="162"/>
      <c r="IS183" s="162"/>
      <c r="IT183" s="162"/>
      <c r="IU183" s="162"/>
      <c r="IV183" s="162"/>
    </row>
    <row r="184" spans="1:256" s="168" customFormat="1" ht="12.75" x14ac:dyDescent="0.2">
      <c r="A184" s="869"/>
      <c r="B184" s="923"/>
      <c r="C184" s="923"/>
      <c r="D184" s="923"/>
      <c r="E184" s="923"/>
      <c r="F184" s="923"/>
      <c r="G184" s="923"/>
      <c r="H184" s="923"/>
      <c r="I184" s="923"/>
      <c r="J184" s="923"/>
      <c r="K184" s="923"/>
      <c r="L184" s="923"/>
      <c r="M184" s="923"/>
      <c r="N184" s="923"/>
      <c r="O184" s="923"/>
      <c r="P184" s="923"/>
      <c r="Q184" s="912"/>
      <c r="R184" s="913"/>
      <c r="S184" s="167"/>
      <c r="AB184" s="249"/>
      <c r="AE184" s="249"/>
      <c r="AH184" s="304" t="e">
        <f>SUM(AE183-AH178)</f>
        <v>#DIV/0!</v>
      </c>
      <c r="AI184" s="249"/>
      <c r="AR184" s="249"/>
      <c r="AU184" s="249"/>
      <c r="AX184" s="304" t="e">
        <f>SUM(AU183-AX178)</f>
        <v>#DIV/0!</v>
      </c>
      <c r="AY184" s="249"/>
      <c r="BH184" s="249"/>
      <c r="BK184" s="249"/>
      <c r="BN184" s="304" t="e">
        <f>SUM(BK183-BN178)</f>
        <v>#DIV/0!</v>
      </c>
      <c r="BO184" s="249"/>
      <c r="BX184" s="249"/>
      <c r="CA184" s="249"/>
      <c r="CD184" s="304" t="e">
        <f>SUM(CA183-CD178)</f>
        <v>#DIV/0!</v>
      </c>
      <c r="CE184" s="249"/>
      <c r="CN184" s="249"/>
      <c r="CQ184" s="249"/>
      <c r="CT184" s="304" t="e">
        <f>SUM(CQ183-CT178)</f>
        <v>#DIV/0!</v>
      </c>
      <c r="CU184" s="249"/>
      <c r="DD184" s="249"/>
      <c r="DG184" s="249"/>
      <c r="DJ184" s="304" t="e">
        <f>SUM(DG183-DJ178)</f>
        <v>#DIV/0!</v>
      </c>
      <c r="DK184" s="249"/>
      <c r="DT184" s="249"/>
      <c r="DW184" s="249"/>
      <c r="DZ184" s="304" t="e">
        <f>SUM(DW183-DZ178)</f>
        <v>#DIV/0!</v>
      </c>
      <c r="EA184" s="249"/>
      <c r="EJ184" s="249"/>
      <c r="EM184" s="249"/>
      <c r="EP184" s="304" t="e">
        <f>SUM(EM183-EP178)</f>
        <v>#DIV/0!</v>
      </c>
      <c r="EQ184" s="249"/>
      <c r="EZ184" s="249"/>
      <c r="FC184" s="249"/>
      <c r="FF184" s="304" t="e">
        <f>SUM(FC183-FF178)</f>
        <v>#DIV/0!</v>
      </c>
      <c r="FG184" s="249"/>
      <c r="HI184" s="162"/>
      <c r="HJ184" s="162"/>
      <c r="HK184" s="162"/>
      <c r="HL184" s="162"/>
      <c r="HM184" s="162"/>
      <c r="HN184" s="162"/>
      <c r="HO184" s="162"/>
      <c r="HP184" s="162"/>
      <c r="HQ184" s="162"/>
      <c r="HR184" s="162"/>
      <c r="HS184" s="162"/>
      <c r="HT184" s="162"/>
      <c r="HU184" s="162"/>
      <c r="HV184" s="162"/>
      <c r="HW184" s="162"/>
      <c r="HX184" s="162"/>
      <c r="HY184" s="162"/>
      <c r="HZ184" s="162"/>
      <c r="IA184" s="162"/>
      <c r="IB184" s="162"/>
      <c r="IC184" s="162"/>
      <c r="ID184" s="162"/>
      <c r="IE184" s="162"/>
      <c r="IF184" s="162"/>
      <c r="IG184" s="162"/>
      <c r="IH184" s="162"/>
      <c r="II184" s="162"/>
      <c r="IJ184" s="162"/>
      <c r="IK184" s="162"/>
      <c r="IL184" s="162"/>
      <c r="IM184" s="162"/>
      <c r="IN184" s="162"/>
      <c r="IO184" s="162"/>
      <c r="IP184" s="162"/>
      <c r="IQ184" s="162"/>
      <c r="IR184" s="162"/>
      <c r="IS184" s="162"/>
      <c r="IT184" s="162"/>
      <c r="IU184" s="162"/>
      <c r="IV184" s="162"/>
    </row>
    <row r="185" spans="1:256" s="168" customFormat="1" x14ac:dyDescent="0.2">
      <c r="A185" s="869"/>
      <c r="B185" s="923"/>
      <c r="C185" s="923"/>
      <c r="D185" s="923"/>
      <c r="E185" s="923"/>
      <c r="F185" s="923"/>
      <c r="G185" s="923"/>
      <c r="H185" s="923"/>
      <c r="I185" s="923"/>
      <c r="J185" s="923"/>
      <c r="K185" s="923"/>
      <c r="L185" s="923"/>
      <c r="M185" s="923"/>
      <c r="N185" s="923"/>
      <c r="O185" s="923"/>
      <c r="P185" s="923"/>
      <c r="Q185" s="912"/>
      <c r="R185" s="913"/>
      <c r="S185" s="167"/>
      <c r="AB185" s="168">
        <f>AC104</f>
        <v>500</v>
      </c>
      <c r="AC185" s="168">
        <f>GW87</f>
        <v>0</v>
      </c>
      <c r="AD185" s="304">
        <f>$AT$87</f>
        <v>0</v>
      </c>
      <c r="AE185" s="168">
        <f>SUM(AB185*AD185)</f>
        <v>0</v>
      </c>
      <c r="AI185" s="304" t="e">
        <f>SUM(AE185-AI175)</f>
        <v>#DIV/0!</v>
      </c>
      <c r="AR185" s="168">
        <f>AS104</f>
        <v>525</v>
      </c>
      <c r="AS185" s="168">
        <f>AC185</f>
        <v>0</v>
      </c>
      <c r="AT185" s="304">
        <f>$AT$87</f>
        <v>0</v>
      </c>
      <c r="AU185" s="168">
        <f>SUM(AR185*AT185)</f>
        <v>0</v>
      </c>
      <c r="AY185" s="304" t="e">
        <f>SUM(AU185-AY175)</f>
        <v>#DIV/0!</v>
      </c>
      <c r="BH185" s="168">
        <f>BI104</f>
        <v>550</v>
      </c>
      <c r="BI185" s="168">
        <f>AS185</f>
        <v>0</v>
      </c>
      <c r="BJ185" s="304">
        <f>$AT$87</f>
        <v>0</v>
      </c>
      <c r="BK185" s="168">
        <f>SUM(BH185*BJ185)</f>
        <v>0</v>
      </c>
      <c r="BO185" s="304" t="e">
        <f>SUM(BK185-BO175)</f>
        <v>#DIV/0!</v>
      </c>
      <c r="BX185" s="168">
        <f>BY104</f>
        <v>575</v>
      </c>
      <c r="BY185" s="168">
        <f>BI185</f>
        <v>0</v>
      </c>
      <c r="BZ185" s="304">
        <f>$AT$87</f>
        <v>0</v>
      </c>
      <c r="CA185" s="168">
        <f>SUM(BX185*BZ185)</f>
        <v>0</v>
      </c>
      <c r="CE185" s="304" t="e">
        <f>SUM(CA185-CE175)</f>
        <v>#DIV/0!</v>
      </c>
      <c r="CN185" s="168">
        <f>CO104</f>
        <v>600</v>
      </c>
      <c r="CO185" s="168">
        <f>BY185</f>
        <v>0</v>
      </c>
      <c r="CP185" s="304">
        <f>$AT$87</f>
        <v>0</v>
      </c>
      <c r="CQ185" s="168">
        <f>SUM(CN185*CP185)</f>
        <v>0</v>
      </c>
      <c r="CU185" s="304" t="e">
        <f>SUM(CQ185-CU175)</f>
        <v>#DIV/0!</v>
      </c>
      <c r="DD185" s="168">
        <f>DE104</f>
        <v>625</v>
      </c>
      <c r="DE185" s="168">
        <f>CO185</f>
        <v>0</v>
      </c>
      <c r="DF185" s="304">
        <f>$AT$87</f>
        <v>0</v>
      </c>
      <c r="DG185" s="168">
        <f>SUM(DD185*DF185)</f>
        <v>0</v>
      </c>
      <c r="DK185" s="304" t="e">
        <f>SUM(DG185-DK175)</f>
        <v>#DIV/0!</v>
      </c>
      <c r="DT185" s="168">
        <f>DU104</f>
        <v>650</v>
      </c>
      <c r="DU185" s="168">
        <f>DE185</f>
        <v>0</v>
      </c>
      <c r="DV185" s="304">
        <f>$AT$87</f>
        <v>0</v>
      </c>
      <c r="DW185" s="168">
        <f>SUM(DT185*DV185)</f>
        <v>0</v>
      </c>
      <c r="EA185" s="304" t="e">
        <f>SUM(DW185-EA175)</f>
        <v>#DIV/0!</v>
      </c>
      <c r="EJ185" s="168">
        <f>EK104</f>
        <v>675</v>
      </c>
      <c r="EK185" s="168">
        <f>DU185</f>
        <v>0</v>
      </c>
      <c r="EL185" s="304">
        <f>$AT$87</f>
        <v>0</v>
      </c>
      <c r="EM185" s="168">
        <f>SUM(EJ185*EL185)</f>
        <v>0</v>
      </c>
      <c r="EQ185" s="304" t="e">
        <f>SUM(EM185-EQ175)</f>
        <v>#DIV/0!</v>
      </c>
      <c r="EZ185" s="168">
        <f>FA104</f>
        <v>700</v>
      </c>
      <c r="FA185" s="168">
        <f>EK185</f>
        <v>0</v>
      </c>
      <c r="FB185" s="304">
        <f>$AT$87</f>
        <v>0</v>
      </c>
      <c r="FC185" s="168">
        <f>SUM(EZ185*FB185)</f>
        <v>0</v>
      </c>
      <c r="FG185" s="304" t="e">
        <f>SUM(FC185-FG175)</f>
        <v>#DIV/0!</v>
      </c>
      <c r="HI185" s="162"/>
      <c r="HJ185" s="162"/>
      <c r="HK185" s="162"/>
      <c r="HL185" s="162"/>
      <c r="HM185" s="162"/>
      <c r="HN185" s="162"/>
      <c r="HO185" s="162"/>
      <c r="HP185" s="162"/>
      <c r="HQ185" s="162"/>
      <c r="HR185" s="162"/>
      <c r="HS185" s="162"/>
      <c r="HT185" s="162"/>
      <c r="HU185" s="162"/>
      <c r="HV185" s="162"/>
      <c r="HW185" s="162"/>
      <c r="HX185" s="162"/>
      <c r="HY185" s="162"/>
      <c r="HZ185" s="162"/>
      <c r="IA185" s="162"/>
      <c r="IB185" s="162"/>
      <c r="IC185" s="162"/>
      <c r="ID185" s="162"/>
      <c r="IE185" s="162"/>
      <c r="IF185" s="162"/>
      <c r="IG185" s="162"/>
      <c r="IH185" s="162"/>
      <c r="II185" s="162"/>
      <c r="IJ185" s="162"/>
      <c r="IK185" s="162"/>
      <c r="IL185" s="162"/>
      <c r="IM185" s="162"/>
      <c r="IN185" s="162"/>
      <c r="IO185" s="162"/>
      <c r="IP185" s="162"/>
      <c r="IQ185" s="162"/>
      <c r="IR185" s="162"/>
      <c r="IS185" s="162"/>
      <c r="IT185" s="162"/>
      <c r="IU185" s="162"/>
      <c r="IV185" s="162"/>
    </row>
    <row r="186" spans="1:256" s="168" customFormat="1" ht="12.75" x14ac:dyDescent="0.2">
      <c r="A186" s="869"/>
      <c r="B186" s="923"/>
      <c r="C186" s="923"/>
      <c r="D186" s="923"/>
      <c r="E186" s="923"/>
      <c r="F186" s="923"/>
      <c r="G186" s="923"/>
      <c r="H186" s="923"/>
      <c r="I186" s="923"/>
      <c r="J186" s="923"/>
      <c r="K186" s="923"/>
      <c r="L186" s="923"/>
      <c r="M186" s="923"/>
      <c r="N186" s="923"/>
      <c r="O186" s="923"/>
      <c r="P186" s="923"/>
      <c r="Q186" s="912"/>
      <c r="R186" s="913"/>
      <c r="S186" s="167"/>
      <c r="AB186" s="249"/>
      <c r="AE186" s="249"/>
      <c r="AI186" s="304" t="e">
        <f>SUM(AE185-AI178)</f>
        <v>#DIV/0!</v>
      </c>
      <c r="AR186" s="249"/>
      <c r="AU186" s="249"/>
      <c r="AY186" s="304" t="e">
        <f>SUM(AU185-AY178)</f>
        <v>#DIV/0!</v>
      </c>
      <c r="BH186" s="249"/>
      <c r="BK186" s="249"/>
      <c r="BO186" s="304" t="e">
        <f>SUM(BK185-BO178)</f>
        <v>#DIV/0!</v>
      </c>
      <c r="BX186" s="249"/>
      <c r="CA186" s="249"/>
      <c r="CE186" s="304" t="e">
        <f>SUM(CA185-CE178)</f>
        <v>#DIV/0!</v>
      </c>
      <c r="CN186" s="249"/>
      <c r="CQ186" s="249"/>
      <c r="CU186" s="304" t="e">
        <f>SUM(CQ185-CU178)</f>
        <v>#DIV/0!</v>
      </c>
      <c r="DD186" s="249"/>
      <c r="DG186" s="249"/>
      <c r="DK186" s="304" t="e">
        <f>SUM(DG185-DK178)</f>
        <v>#DIV/0!</v>
      </c>
      <c r="DT186" s="249"/>
      <c r="DW186" s="249"/>
      <c r="EA186" s="304" t="e">
        <f>SUM(DW185-EA178)</f>
        <v>#DIV/0!</v>
      </c>
      <c r="EJ186" s="249"/>
      <c r="EM186" s="249"/>
      <c r="EQ186" s="304" t="e">
        <f>SUM(EM185-EQ178)</f>
        <v>#DIV/0!</v>
      </c>
      <c r="EZ186" s="249"/>
      <c r="FC186" s="249"/>
      <c r="FG186" s="304" t="e">
        <f>SUM(FC185-FG178)</f>
        <v>#DIV/0!</v>
      </c>
      <c r="HI186" s="162"/>
      <c r="HJ186" s="162"/>
      <c r="HK186" s="162"/>
      <c r="HL186" s="162"/>
      <c r="HM186" s="162"/>
      <c r="HN186" s="162"/>
      <c r="HO186" s="162"/>
      <c r="HP186" s="162"/>
      <c r="HQ186" s="162"/>
      <c r="HR186" s="162"/>
      <c r="HS186" s="162"/>
      <c r="HT186" s="162"/>
      <c r="HU186" s="162"/>
      <c r="HV186" s="162"/>
      <c r="HW186" s="162"/>
      <c r="HX186" s="162"/>
      <c r="HY186" s="162"/>
      <c r="HZ186" s="162"/>
      <c r="IA186" s="162"/>
      <c r="IB186" s="162"/>
      <c r="IC186" s="162"/>
      <c r="ID186" s="162"/>
      <c r="IE186" s="162"/>
      <c r="IF186" s="162"/>
      <c r="IG186" s="162"/>
      <c r="IH186" s="162"/>
      <c r="II186" s="162"/>
      <c r="IJ186" s="162"/>
      <c r="IK186" s="162"/>
      <c r="IL186" s="162"/>
      <c r="IM186" s="162"/>
      <c r="IN186" s="162"/>
      <c r="IO186" s="162"/>
      <c r="IP186" s="162"/>
      <c r="IQ186" s="162"/>
      <c r="IR186" s="162"/>
      <c r="IS186" s="162"/>
      <c r="IT186" s="162"/>
      <c r="IU186" s="162"/>
      <c r="IV186" s="162"/>
    </row>
    <row r="187" spans="1:256" s="168" customFormat="1" x14ac:dyDescent="0.2">
      <c r="A187" s="869"/>
      <c r="B187" s="923"/>
      <c r="C187" s="923"/>
      <c r="D187" s="923"/>
      <c r="E187" s="923"/>
      <c r="F187" s="923"/>
      <c r="G187" s="923"/>
      <c r="H187" s="923"/>
      <c r="I187" s="923"/>
      <c r="J187" s="923"/>
      <c r="K187" s="923"/>
      <c r="L187" s="923"/>
      <c r="M187" s="923"/>
      <c r="N187" s="923"/>
      <c r="O187" s="923"/>
      <c r="P187" s="923"/>
      <c r="Q187" s="912"/>
      <c r="R187" s="913"/>
      <c r="S187" s="167"/>
      <c r="AB187" s="168">
        <f>AC105</f>
        <v>500</v>
      </c>
      <c r="AC187" s="168">
        <f>GW89</f>
        <v>0</v>
      </c>
      <c r="AD187" s="304">
        <f>$AT$89</f>
        <v>0</v>
      </c>
      <c r="AE187" s="168">
        <f>SUM(AB187*AD187)</f>
        <v>0</v>
      </c>
      <c r="AJ187" s="168">
        <f>SUM(AE187-AJ175)</f>
        <v>0</v>
      </c>
      <c r="AR187" s="168">
        <f>AS105</f>
        <v>525</v>
      </c>
      <c r="AS187" s="168">
        <f>AC187</f>
        <v>0</v>
      </c>
      <c r="AT187" s="304">
        <f>$AT$89</f>
        <v>0</v>
      </c>
      <c r="AU187" s="168">
        <f>SUM(AR187*AT187)</f>
        <v>0</v>
      </c>
      <c r="AZ187" s="168">
        <f>SUM(AU187-AZ175)</f>
        <v>0</v>
      </c>
      <c r="BH187" s="168">
        <f>BI105</f>
        <v>550</v>
      </c>
      <c r="BI187" s="168">
        <f>AS187</f>
        <v>0</v>
      </c>
      <c r="BJ187" s="304">
        <f>$AT$89</f>
        <v>0</v>
      </c>
      <c r="BK187" s="168">
        <f>SUM(BH187*BJ187)</f>
        <v>0</v>
      </c>
      <c r="BP187" s="168">
        <f>SUM(BK187-BP175)</f>
        <v>0</v>
      </c>
      <c r="BX187" s="168">
        <f>BY105</f>
        <v>575</v>
      </c>
      <c r="BY187" s="168">
        <f>BI187</f>
        <v>0</v>
      </c>
      <c r="BZ187" s="304">
        <f>$AT$89</f>
        <v>0</v>
      </c>
      <c r="CA187" s="168">
        <f>SUM(BX187*BZ187)</f>
        <v>0</v>
      </c>
      <c r="CF187" s="168">
        <f>SUM(CA187-CF175)</f>
        <v>0</v>
      </c>
      <c r="CN187" s="168">
        <f>CO105</f>
        <v>600</v>
      </c>
      <c r="CO187" s="168">
        <f>BY187</f>
        <v>0</v>
      </c>
      <c r="CP187" s="304">
        <f>$AT$89</f>
        <v>0</v>
      </c>
      <c r="CQ187" s="168">
        <f>SUM(CN187*CP187)</f>
        <v>0</v>
      </c>
      <c r="CV187" s="168">
        <f>SUM(CQ187-CV175)</f>
        <v>0</v>
      </c>
      <c r="DD187" s="168">
        <f>DE105</f>
        <v>625</v>
      </c>
      <c r="DE187" s="168">
        <f>CO187</f>
        <v>0</v>
      </c>
      <c r="DF187" s="304">
        <f>$AT$89</f>
        <v>0</v>
      </c>
      <c r="DG187" s="168">
        <f>SUM(DD187*DF187)</f>
        <v>0</v>
      </c>
      <c r="DL187" s="168">
        <f>SUM(DG187-DL175)</f>
        <v>0</v>
      </c>
      <c r="DT187" s="168">
        <f>DU105</f>
        <v>650</v>
      </c>
      <c r="DU187" s="168">
        <f>DE187</f>
        <v>0</v>
      </c>
      <c r="DV187" s="304">
        <f>$AT$89</f>
        <v>0</v>
      </c>
      <c r="DW187" s="168">
        <f>SUM(DT187*DV187)</f>
        <v>0</v>
      </c>
      <c r="EB187" s="168">
        <f>SUM(DW187-EB175)</f>
        <v>0</v>
      </c>
      <c r="EJ187" s="168">
        <f>EK105</f>
        <v>675</v>
      </c>
      <c r="EK187" s="168">
        <f>DU187</f>
        <v>0</v>
      </c>
      <c r="EL187" s="304">
        <f>$AT$89</f>
        <v>0</v>
      </c>
      <c r="EM187" s="168">
        <f>SUM(EJ187*EL187)</f>
        <v>0</v>
      </c>
      <c r="ER187" s="168">
        <f>SUM(EM187-ER175)</f>
        <v>0</v>
      </c>
      <c r="EZ187" s="168">
        <f>FA105</f>
        <v>700</v>
      </c>
      <c r="FA187" s="168">
        <f>EK187</f>
        <v>0</v>
      </c>
      <c r="FB187" s="304">
        <f>$AT$89</f>
        <v>0</v>
      </c>
      <c r="FC187" s="168">
        <f>SUM(EZ187*FB187)</f>
        <v>0</v>
      </c>
      <c r="FH187" s="168">
        <f>SUM(FC187-FH175)</f>
        <v>0</v>
      </c>
      <c r="HI187" s="162"/>
      <c r="HJ187" s="162"/>
      <c r="HK187" s="162"/>
      <c r="HL187" s="162"/>
      <c r="HM187" s="162"/>
      <c r="HN187" s="162"/>
      <c r="HO187" s="162"/>
      <c r="HP187" s="162"/>
      <c r="HQ187" s="162"/>
      <c r="HR187" s="162"/>
      <c r="HS187" s="162"/>
      <c r="HT187" s="162"/>
      <c r="HU187" s="162"/>
      <c r="HV187" s="162"/>
      <c r="HW187" s="162"/>
      <c r="HX187" s="162"/>
      <c r="HY187" s="162"/>
      <c r="HZ187" s="162"/>
      <c r="IA187" s="162"/>
      <c r="IB187" s="162"/>
      <c r="IC187" s="162"/>
      <c r="ID187" s="162"/>
      <c r="IE187" s="162"/>
      <c r="IF187" s="162"/>
      <c r="IG187" s="162"/>
      <c r="IH187" s="162"/>
      <c r="II187" s="162"/>
      <c r="IJ187" s="162"/>
      <c r="IK187" s="162"/>
      <c r="IL187" s="162"/>
      <c r="IM187" s="162"/>
      <c r="IN187" s="162"/>
      <c r="IO187" s="162"/>
      <c r="IP187" s="162"/>
      <c r="IQ187" s="162"/>
      <c r="IR187" s="162"/>
      <c r="IS187" s="162"/>
      <c r="IT187" s="162"/>
      <c r="IU187" s="162"/>
      <c r="IV187" s="162"/>
    </row>
    <row r="188" spans="1:256" s="168" customFormat="1" ht="12.75" x14ac:dyDescent="0.2">
      <c r="A188" s="869"/>
      <c r="B188" s="923"/>
      <c r="C188" s="923"/>
      <c r="D188" s="923"/>
      <c r="E188" s="923"/>
      <c r="F188" s="923"/>
      <c r="G188" s="923"/>
      <c r="H188" s="923"/>
      <c r="I188" s="923"/>
      <c r="J188" s="923"/>
      <c r="K188" s="923"/>
      <c r="L188" s="923"/>
      <c r="M188" s="923"/>
      <c r="N188" s="923"/>
      <c r="O188" s="923"/>
      <c r="P188" s="923"/>
      <c r="Q188" s="912"/>
      <c r="R188" s="913"/>
      <c r="S188" s="167"/>
      <c r="AG188" s="355" t="s">
        <v>439</v>
      </c>
      <c r="AH188" s="924" t="e">
        <f>SUM(AH189/((AC106*1000)/Y125))</f>
        <v>#DIV/0!</v>
      </c>
      <c r="AI188" s="924"/>
      <c r="AJ188" s="924"/>
      <c r="AW188" s="355" t="s">
        <v>439</v>
      </c>
      <c r="AX188" s="924" t="e">
        <f>SUM(AX189/((AS106*1000)/AO125))</f>
        <v>#DIV/0!</v>
      </c>
      <c r="AY188" s="924"/>
      <c r="AZ188" s="924"/>
      <c r="BM188" s="355" t="s">
        <v>439</v>
      </c>
      <c r="BN188" s="924" t="e">
        <f>SUM(BN189/((BI106*1000)/BE125))</f>
        <v>#DIV/0!</v>
      </c>
      <c r="BO188" s="924"/>
      <c r="BP188" s="924"/>
      <c r="CC188" s="355" t="s">
        <v>439</v>
      </c>
      <c r="CD188" s="924" t="e">
        <f>SUM(CD189/((BY106*1000)/BU125))</f>
        <v>#DIV/0!</v>
      </c>
      <c r="CE188" s="924"/>
      <c r="CF188" s="924"/>
      <c r="CS188" s="355" t="s">
        <v>439</v>
      </c>
      <c r="CT188" s="924" t="e">
        <f>SUM(CT189/((CO106*1000)/CK125))</f>
        <v>#DIV/0!</v>
      </c>
      <c r="CU188" s="924"/>
      <c r="CV188" s="924"/>
      <c r="DI188" s="355" t="s">
        <v>439</v>
      </c>
      <c r="DJ188" s="924" t="e">
        <f>SUM(DJ189/((DE106*1000)/DA125))</f>
        <v>#DIV/0!</v>
      </c>
      <c r="DK188" s="924"/>
      <c r="DL188" s="924"/>
      <c r="DY188" s="355" t="s">
        <v>439</v>
      </c>
      <c r="DZ188" s="924" t="e">
        <f>SUM(DZ189/((DU106*1000)/DQ125))</f>
        <v>#DIV/0!</v>
      </c>
      <c r="EA188" s="924"/>
      <c r="EB188" s="924"/>
      <c r="EO188" s="355" t="s">
        <v>439</v>
      </c>
      <c r="EP188" s="924" t="e">
        <f>SUM(EP189/((EK106*1000)/EG125))</f>
        <v>#DIV/0!</v>
      </c>
      <c r="EQ188" s="924"/>
      <c r="ER188" s="924"/>
      <c r="FE188" s="355" t="s">
        <v>439</v>
      </c>
      <c r="FF188" s="924" t="e">
        <f>SUM(FF189/((FA106*1000)/EW125))</f>
        <v>#DIV/0!</v>
      </c>
      <c r="FG188" s="924"/>
      <c r="FH188" s="924"/>
      <c r="HI188" s="162"/>
      <c r="HJ188" s="162"/>
      <c r="HK188" s="162"/>
      <c r="HL188" s="162"/>
      <c r="HM188" s="162"/>
      <c r="HN188" s="162"/>
      <c r="HO188" s="162"/>
      <c r="HP188" s="162"/>
      <c r="HQ188" s="162"/>
      <c r="HR188" s="162"/>
      <c r="HS188" s="162"/>
      <c r="HT188" s="162"/>
      <c r="HU188" s="162"/>
      <c r="HV188" s="162"/>
      <c r="HW188" s="162"/>
      <c r="HX188" s="162"/>
      <c r="HY188" s="162"/>
      <c r="HZ188" s="162"/>
      <c r="IA188" s="162"/>
      <c r="IB188" s="162"/>
      <c r="IC188" s="162"/>
      <c r="ID188" s="162"/>
      <c r="IE188" s="162"/>
      <c r="IF188" s="162"/>
      <c r="IG188" s="162"/>
      <c r="IH188" s="162"/>
      <c r="II188" s="162"/>
      <c r="IJ188" s="162"/>
      <c r="IK188" s="162"/>
      <c r="IL188" s="162"/>
      <c r="IM188" s="162"/>
      <c r="IN188" s="162"/>
      <c r="IO188" s="162"/>
      <c r="IP188" s="162"/>
      <c r="IQ188" s="162"/>
      <c r="IR188" s="162"/>
      <c r="IS188" s="162"/>
      <c r="IT188" s="162"/>
      <c r="IU188" s="162"/>
      <c r="IV188" s="162"/>
    </row>
    <row r="189" spans="1:256" s="168" customFormat="1" ht="12.75" x14ac:dyDescent="0.2">
      <c r="A189" s="869"/>
      <c r="B189" s="923"/>
      <c r="C189" s="923"/>
      <c r="D189" s="923"/>
      <c r="E189" s="923"/>
      <c r="F189" s="923"/>
      <c r="G189" s="923"/>
      <c r="H189" s="923"/>
      <c r="I189" s="923"/>
      <c r="J189" s="923"/>
      <c r="K189" s="923"/>
      <c r="L189" s="923"/>
      <c r="M189" s="923"/>
      <c r="N189" s="923"/>
      <c r="O189" s="923"/>
      <c r="P189" s="923"/>
      <c r="Q189" s="912"/>
      <c r="R189" s="913"/>
      <c r="S189" s="167"/>
      <c r="AG189" s="355" t="s">
        <v>440</v>
      </c>
      <c r="AH189" s="918" t="e">
        <f>SUM((AH174*AC103*Y110)+(AH177*AC103*Y112)+(AI174*AC104*Y117)+(AI177*AC104*Y119)+(AJ174*AC105*Y124))/Y125</f>
        <v>#DIV/0!</v>
      </c>
      <c r="AI189" s="918"/>
      <c r="AJ189" s="918"/>
      <c r="AW189" s="355" t="s">
        <v>440</v>
      </c>
      <c r="AX189" s="918" t="e">
        <f>SUM((AX174*AS103*AO110)+(AX177*AS103*AO112)+(AY174*AS104*AO117)+(AY177*AS104*AO119)+(AZ174*AS105*AO124))/AO125</f>
        <v>#DIV/0!</v>
      </c>
      <c r="AY189" s="918"/>
      <c r="AZ189" s="918"/>
      <c r="BM189" s="355" t="s">
        <v>440</v>
      </c>
      <c r="BN189" s="918" t="e">
        <f>SUM((BN174*BI103*BE110)+(BN177*BI103*BE112)+(BO174*BI104*BE117)+(BO177*BI104*BE119)+(BP174*BI105*BE124))/BE125</f>
        <v>#DIV/0!</v>
      </c>
      <c r="BO189" s="918"/>
      <c r="BP189" s="918"/>
      <c r="CC189" s="355" t="s">
        <v>440</v>
      </c>
      <c r="CD189" s="918" t="e">
        <f>SUM((CD174*BY103*BU110)+(CD177*BY103*BU112)+(CE174*BY104*BU117)+(CE177*BY104*BU119)+(CF174*BY105*BU124))/BU125</f>
        <v>#DIV/0!</v>
      </c>
      <c r="CE189" s="918"/>
      <c r="CF189" s="918"/>
      <c r="CS189" s="355" t="s">
        <v>440</v>
      </c>
      <c r="CT189" s="918" t="e">
        <f>SUM((CT174*CO103*CK110)+(CT177*CO103*CK112)+(CU174*CO104*CK117)+(CU177*CO104*CK119)+(CV174*CO105*CK124))/CK125</f>
        <v>#DIV/0!</v>
      </c>
      <c r="CU189" s="918"/>
      <c r="CV189" s="918"/>
      <c r="DI189" s="355" t="s">
        <v>440</v>
      </c>
      <c r="DJ189" s="918" t="e">
        <f>SUM((DJ174*DE103*DA110)+(DJ177*DE103*DA112)+(DK174*DE104*DA117)+(DK177*DE104*DA119)+(DL174*DE105*DA124))/DA125</f>
        <v>#DIV/0!</v>
      </c>
      <c r="DK189" s="918"/>
      <c r="DL189" s="918"/>
      <c r="DY189" s="355" t="s">
        <v>440</v>
      </c>
      <c r="DZ189" s="918" t="e">
        <f>SUM((DZ174*DU103*DQ110)+(DZ177*DU103*DQ112)+(EA174*DU104*DQ117)+(EA177*DU104*DQ119)+(EB174*DU105*DQ124))/DQ125</f>
        <v>#DIV/0!</v>
      </c>
      <c r="EA189" s="918"/>
      <c r="EB189" s="918"/>
      <c r="EO189" s="355" t="s">
        <v>440</v>
      </c>
      <c r="EP189" s="918" t="e">
        <f>SUM((EP174*EK103*EG110)+(EP177*EK103*EG112)+(EQ174*EK104*EG117)+(EQ177*EK104*EG119)+(ER174*EK105*EG124))/EG125</f>
        <v>#DIV/0!</v>
      </c>
      <c r="EQ189" s="918"/>
      <c r="ER189" s="918"/>
      <c r="FE189" s="355" t="s">
        <v>440</v>
      </c>
      <c r="FF189" s="918" t="e">
        <f>SUM((FF174*FA103*EW110)+(FF177*FA103*EW112)+(FG174*FA104*EW117)+(FG177*FA104*EW119)+(FH174*FA105*EW124))/EW125</f>
        <v>#DIV/0!</v>
      </c>
      <c r="FG189" s="918"/>
      <c r="FH189" s="918"/>
      <c r="HI189" s="162"/>
      <c r="HJ189" s="162"/>
      <c r="HK189" s="162"/>
      <c r="HL189" s="162"/>
      <c r="HM189" s="162"/>
      <c r="HN189" s="162"/>
      <c r="HO189" s="162"/>
      <c r="HP189" s="162"/>
      <c r="HQ189" s="162"/>
      <c r="HR189" s="162"/>
      <c r="HS189" s="162"/>
      <c r="HT189" s="162"/>
      <c r="HU189" s="162"/>
      <c r="HV189" s="162"/>
      <c r="HW189" s="162"/>
      <c r="HX189" s="162"/>
      <c r="HY189" s="162"/>
      <c r="HZ189" s="162"/>
      <c r="IA189" s="162"/>
      <c r="IB189" s="162"/>
      <c r="IC189" s="162"/>
      <c r="ID189" s="162"/>
      <c r="IE189" s="162"/>
      <c r="IF189" s="162"/>
      <c r="IG189" s="162"/>
      <c r="IH189" s="162"/>
      <c r="II189" s="162"/>
      <c r="IJ189" s="162"/>
      <c r="IK189" s="162"/>
      <c r="IL189" s="162"/>
      <c r="IM189" s="162"/>
      <c r="IN189" s="162"/>
      <c r="IO189" s="162"/>
      <c r="IP189" s="162"/>
      <c r="IQ189" s="162"/>
      <c r="IR189" s="162"/>
      <c r="IS189" s="162"/>
      <c r="IT189" s="162"/>
      <c r="IU189" s="162"/>
      <c r="IV189" s="162"/>
    </row>
    <row r="190" spans="1:256" s="168" customFormat="1" ht="12.75" x14ac:dyDescent="0.2">
      <c r="A190" s="869"/>
      <c r="B190" s="923"/>
      <c r="C190" s="923"/>
      <c r="D190" s="923"/>
      <c r="E190" s="923"/>
      <c r="F190" s="923"/>
      <c r="G190" s="923"/>
      <c r="H190" s="923"/>
      <c r="I190" s="923"/>
      <c r="J190" s="923"/>
      <c r="K190" s="923"/>
      <c r="L190" s="923"/>
      <c r="M190" s="923"/>
      <c r="N190" s="923"/>
      <c r="O190" s="923"/>
      <c r="P190" s="923"/>
      <c r="Q190" s="912"/>
      <c r="R190" s="913"/>
      <c r="S190" s="167"/>
      <c r="AG190" s="355" t="s">
        <v>441</v>
      </c>
      <c r="AH190" s="918" t="e">
        <f>SUM(AH176*(Y110/Y125)+AI176*(Y117/Y125)+AH179*(Y112/Y125)+AI179*(Y119/Y125)+AJ176*(Y124/Y125))</f>
        <v>#DIV/0!</v>
      </c>
      <c r="AI190" s="918"/>
      <c r="AJ190" s="918"/>
      <c r="AW190" s="355" t="s">
        <v>441</v>
      </c>
      <c r="AX190" s="918" t="e">
        <f>SUM(AX176*(AO110/AO125)+AY176*(AO117/AO125)+AX179*(AO112/AO125)+AY179*(AO119/AO125)+AZ176*(AO124/AO125))</f>
        <v>#DIV/0!</v>
      </c>
      <c r="AY190" s="918"/>
      <c r="AZ190" s="918"/>
      <c r="BM190" s="355" t="s">
        <v>441</v>
      </c>
      <c r="BN190" s="918" t="e">
        <f>SUM(BN176*(BE110/BE125)+BO176*(BE117/BE125)+BN179*(BE112/BE125)+BO179*(BE119/BE125)+BP176*(BE124/BE125))</f>
        <v>#DIV/0!</v>
      </c>
      <c r="BO190" s="918"/>
      <c r="BP190" s="918"/>
      <c r="CC190" s="355" t="s">
        <v>441</v>
      </c>
      <c r="CD190" s="918" t="e">
        <f>SUM(CD176*(BU110/BU125)+CE176*(BU117/BU125)+CD179*(BU112/BU125)+CE179*(BU119/BU125)+CF176*(BU124/BU125))</f>
        <v>#DIV/0!</v>
      </c>
      <c r="CE190" s="918"/>
      <c r="CF190" s="918"/>
      <c r="CS190" s="355" t="s">
        <v>441</v>
      </c>
      <c r="CT190" s="918" t="e">
        <f>SUM(CT176*(CK110/CK125)+CU176*(CK117/CK125)+CT179*(CK112/CK125)+CU179*(CK119/CK125)+CV176*(CK124/CK125))</f>
        <v>#DIV/0!</v>
      </c>
      <c r="CU190" s="918"/>
      <c r="CV190" s="918"/>
      <c r="DI190" s="355" t="s">
        <v>441</v>
      </c>
      <c r="DJ190" s="918" t="e">
        <f>SUM(DJ176*(DA110/DA125)+DK176*(DA117/DA125)+DJ179*(DA112/DA125)+DK179*(DA119/DA125)+DL176*(DA124/DA125))</f>
        <v>#DIV/0!</v>
      </c>
      <c r="DK190" s="918"/>
      <c r="DL190" s="918"/>
      <c r="DY190" s="355" t="s">
        <v>441</v>
      </c>
      <c r="DZ190" s="918" t="e">
        <f>SUM(DZ176*(DQ110/DQ125)+EA176*(DQ117/DQ125)+DZ179*(DQ112/DQ125)+EA179*(DQ119/DQ125)+EB176*(DQ124/DQ125))</f>
        <v>#DIV/0!</v>
      </c>
      <c r="EA190" s="918"/>
      <c r="EB190" s="918"/>
      <c r="EO190" s="355" t="s">
        <v>441</v>
      </c>
      <c r="EP190" s="918" t="e">
        <f>SUM(EP176*(EG110/EG125)+EQ176*(EG117/EG125)+EP179*(EG112/EG125)+EQ179*(EG119/EG125)+ER176*(EG124/EG125))</f>
        <v>#DIV/0!</v>
      </c>
      <c r="EQ190" s="918"/>
      <c r="ER190" s="918"/>
      <c r="FE190" s="355" t="s">
        <v>441</v>
      </c>
      <c r="FF190" s="918" t="e">
        <f>SUM(FF176*(EW110/EW125)+FG176*(EW117/EW125)+FF179*(EW112/EW125)+FG179*(EW119/EW125)+FH176*(EW124/EW125))</f>
        <v>#DIV/0!</v>
      </c>
      <c r="FG190" s="918"/>
      <c r="FH190" s="918"/>
      <c r="HI190" s="162"/>
      <c r="HJ190" s="162"/>
      <c r="HK190" s="162"/>
      <c r="HL190" s="162"/>
      <c r="HM190" s="162"/>
      <c r="HN190" s="162"/>
      <c r="HO190" s="162"/>
      <c r="HP190" s="162"/>
      <c r="HQ190" s="162"/>
      <c r="HR190" s="162"/>
      <c r="HS190" s="162"/>
      <c r="HT190" s="162"/>
      <c r="HU190" s="162"/>
      <c r="HV190" s="162"/>
      <c r="HW190" s="162"/>
      <c r="HX190" s="162"/>
      <c r="HY190" s="162"/>
      <c r="HZ190" s="162"/>
      <c r="IA190" s="162"/>
      <c r="IB190" s="162"/>
      <c r="IC190" s="162"/>
      <c r="ID190" s="162"/>
      <c r="IE190" s="162"/>
      <c r="IF190" s="162"/>
      <c r="IG190" s="162"/>
      <c r="IH190" s="162"/>
      <c r="II190" s="162"/>
      <c r="IJ190" s="162"/>
      <c r="IK190" s="162"/>
      <c r="IL190" s="162"/>
      <c r="IM190" s="162"/>
      <c r="IN190" s="162"/>
      <c r="IO190" s="162"/>
      <c r="IP190" s="162"/>
      <c r="IQ190" s="162"/>
      <c r="IR190" s="162"/>
      <c r="IS190" s="162"/>
      <c r="IT190" s="162"/>
      <c r="IU190" s="162"/>
      <c r="IV190" s="162"/>
    </row>
    <row r="191" spans="1:256" s="168" customFormat="1" ht="12.75" x14ac:dyDescent="0.2">
      <c r="A191" s="869"/>
      <c r="B191" s="923"/>
      <c r="C191" s="923"/>
      <c r="D191" s="923"/>
      <c r="E191" s="923"/>
      <c r="F191" s="923"/>
      <c r="G191" s="923"/>
      <c r="H191" s="923"/>
      <c r="I191" s="923"/>
      <c r="J191" s="923"/>
      <c r="K191" s="923"/>
      <c r="L191" s="923"/>
      <c r="M191" s="923"/>
      <c r="N191" s="923"/>
      <c r="O191" s="923"/>
      <c r="P191" s="923"/>
      <c r="Q191" s="912"/>
      <c r="R191" s="913"/>
      <c r="S191" s="167"/>
      <c r="AG191" s="361" t="s">
        <v>442</v>
      </c>
      <c r="AH191" s="249"/>
      <c r="AI191" s="213">
        <f>AC106</f>
        <v>80</v>
      </c>
      <c r="AJ191" s="249"/>
      <c r="AW191" s="361" t="s">
        <v>442</v>
      </c>
      <c r="AX191" s="249"/>
      <c r="AY191" s="213">
        <f>AS106</f>
        <v>84</v>
      </c>
      <c r="AZ191" s="249"/>
      <c r="BM191" s="361" t="s">
        <v>442</v>
      </c>
      <c r="BN191" s="249"/>
      <c r="BO191" s="213">
        <f>BI106</f>
        <v>88</v>
      </c>
      <c r="BP191" s="249"/>
      <c r="CC191" s="361" t="s">
        <v>442</v>
      </c>
      <c r="CD191" s="249"/>
      <c r="CE191" s="213">
        <f>BY106</f>
        <v>92</v>
      </c>
      <c r="CF191" s="249"/>
      <c r="CS191" s="361" t="s">
        <v>442</v>
      </c>
      <c r="CT191" s="249"/>
      <c r="CU191" s="213">
        <f>CO106</f>
        <v>96</v>
      </c>
      <c r="CV191" s="249"/>
      <c r="DI191" s="361" t="s">
        <v>442</v>
      </c>
      <c r="DJ191" s="249"/>
      <c r="DK191" s="213">
        <f>DE106</f>
        <v>100</v>
      </c>
      <c r="DL191" s="249"/>
      <c r="DY191" s="361" t="s">
        <v>442</v>
      </c>
      <c r="DZ191" s="249"/>
      <c r="EA191" s="213">
        <f>DU106</f>
        <v>104</v>
      </c>
      <c r="EB191" s="249"/>
      <c r="EO191" s="361" t="s">
        <v>442</v>
      </c>
      <c r="EP191" s="249"/>
      <c r="EQ191" s="213">
        <f>EK106</f>
        <v>108</v>
      </c>
      <c r="ER191" s="249"/>
      <c r="FE191" s="361" t="s">
        <v>442</v>
      </c>
      <c r="FF191" s="249"/>
      <c r="FG191" s="213">
        <f>FA106</f>
        <v>112</v>
      </c>
      <c r="FH191" s="249"/>
      <c r="HI191" s="162"/>
      <c r="HJ191" s="162"/>
      <c r="HK191" s="162"/>
      <c r="HL191" s="162"/>
      <c r="HM191" s="162"/>
      <c r="HN191" s="162"/>
      <c r="HO191" s="162"/>
      <c r="HP191" s="162"/>
      <c r="HQ191" s="162"/>
      <c r="HR191" s="162"/>
      <c r="HS191" s="162"/>
      <c r="HT191" s="162"/>
      <c r="HU191" s="162"/>
      <c r="HV191" s="162"/>
      <c r="HW191" s="162"/>
      <c r="HX191" s="162"/>
      <c r="HY191" s="162"/>
      <c r="HZ191" s="162"/>
      <c r="IA191" s="162"/>
      <c r="IB191" s="162"/>
      <c r="IC191" s="162"/>
      <c r="ID191" s="162"/>
      <c r="IE191" s="162"/>
      <c r="IF191" s="162"/>
      <c r="IG191" s="162"/>
      <c r="IH191" s="162"/>
      <c r="II191" s="162"/>
      <c r="IJ191" s="162"/>
      <c r="IK191" s="162"/>
      <c r="IL191" s="162"/>
      <c r="IM191" s="162"/>
      <c r="IN191" s="162"/>
      <c r="IO191" s="162"/>
      <c r="IP191" s="162"/>
      <c r="IQ191" s="162"/>
      <c r="IR191" s="162"/>
      <c r="IS191" s="162"/>
      <c r="IT191" s="162"/>
      <c r="IU191" s="162"/>
      <c r="IV191" s="162"/>
    </row>
    <row r="192" spans="1:256" s="168" customFormat="1" ht="12.75" x14ac:dyDescent="0.2">
      <c r="A192" s="869"/>
      <c r="B192" s="923"/>
      <c r="C192" s="923"/>
      <c r="D192" s="923"/>
      <c r="E192" s="923"/>
      <c r="F192" s="923"/>
      <c r="G192" s="923"/>
      <c r="H192" s="923"/>
      <c r="I192" s="923"/>
      <c r="J192" s="923"/>
      <c r="K192" s="923"/>
      <c r="L192" s="923"/>
      <c r="M192" s="923"/>
      <c r="N192" s="923"/>
      <c r="O192" s="923"/>
      <c r="P192" s="923"/>
      <c r="Q192" s="912"/>
      <c r="R192" s="913"/>
      <c r="S192" s="167"/>
      <c r="AG192" s="355" t="s">
        <v>443</v>
      </c>
      <c r="AH192" s="918" t="e">
        <f>SUM(AI191*AH188*1000)</f>
        <v>#DIV/0!</v>
      </c>
      <c r="AI192" s="918"/>
      <c r="AJ192" s="918"/>
      <c r="AW192" s="355" t="s">
        <v>443</v>
      </c>
      <c r="AX192" s="918" t="e">
        <f>SUM(AY191*AX188*1000)</f>
        <v>#DIV/0!</v>
      </c>
      <c r="AY192" s="918"/>
      <c r="AZ192" s="918"/>
      <c r="BM192" s="355" t="s">
        <v>443</v>
      </c>
      <c r="BN192" s="918" t="e">
        <f>SUM(BO191*BN188*1000)</f>
        <v>#DIV/0!</v>
      </c>
      <c r="BO192" s="918"/>
      <c r="BP192" s="918"/>
      <c r="CC192" s="355" t="s">
        <v>443</v>
      </c>
      <c r="CD192" s="918" t="e">
        <f>SUM(CE191*CD188*1000)</f>
        <v>#DIV/0!</v>
      </c>
      <c r="CE192" s="918"/>
      <c r="CF192" s="918"/>
      <c r="CS192" s="355" t="s">
        <v>443</v>
      </c>
      <c r="CT192" s="918" t="e">
        <f>SUM(CU191*CT188*1000)</f>
        <v>#DIV/0!</v>
      </c>
      <c r="CU192" s="918"/>
      <c r="CV192" s="918"/>
      <c r="DI192" s="355" t="s">
        <v>443</v>
      </c>
      <c r="DJ192" s="918" t="e">
        <f>SUM(DK191*DJ188*1000)</f>
        <v>#DIV/0!</v>
      </c>
      <c r="DK192" s="918"/>
      <c r="DL192" s="918"/>
      <c r="DY192" s="355" t="s">
        <v>443</v>
      </c>
      <c r="DZ192" s="918" t="e">
        <f>SUM(EA191*DZ188*1000)</f>
        <v>#DIV/0!</v>
      </c>
      <c r="EA192" s="918"/>
      <c r="EB192" s="918"/>
      <c r="EO192" s="355" t="s">
        <v>443</v>
      </c>
      <c r="EP192" s="918" t="e">
        <f>SUM(EQ191*EP188*1000)</f>
        <v>#DIV/0!</v>
      </c>
      <c r="EQ192" s="918"/>
      <c r="ER192" s="918"/>
      <c r="FE192" s="355" t="s">
        <v>443</v>
      </c>
      <c r="FF192" s="918" t="e">
        <f>SUM(FG191*FF188*1000)</f>
        <v>#DIV/0!</v>
      </c>
      <c r="FG192" s="918"/>
      <c r="FH192" s="918"/>
      <c r="HI192" s="162"/>
      <c r="HJ192" s="162"/>
      <c r="HK192" s="162"/>
      <c r="HL192" s="162"/>
      <c r="HM192" s="162"/>
      <c r="HN192" s="162"/>
      <c r="HO192" s="162"/>
      <c r="HP192" s="162"/>
      <c r="HQ192" s="162"/>
      <c r="HR192" s="162"/>
      <c r="HS192" s="162"/>
      <c r="HT192" s="162"/>
      <c r="HU192" s="162"/>
      <c r="HV192" s="162"/>
      <c r="HW192" s="162"/>
      <c r="HX192" s="162"/>
      <c r="HY192" s="162"/>
      <c r="HZ192" s="162"/>
      <c r="IA192" s="162"/>
      <c r="IB192" s="162"/>
      <c r="IC192" s="162"/>
      <c r="ID192" s="162"/>
      <c r="IE192" s="162"/>
      <c r="IF192" s="162"/>
      <c r="IG192" s="162"/>
      <c r="IH192" s="162"/>
      <c r="II192" s="162"/>
      <c r="IJ192" s="162"/>
      <c r="IK192" s="162"/>
      <c r="IL192" s="162"/>
      <c r="IM192" s="162"/>
      <c r="IN192" s="162"/>
      <c r="IO192" s="162"/>
      <c r="IP192" s="162"/>
      <c r="IQ192" s="162"/>
      <c r="IR192" s="162"/>
      <c r="IS192" s="162"/>
      <c r="IT192" s="162"/>
      <c r="IU192" s="162"/>
      <c r="IV192" s="162"/>
    </row>
    <row r="193" spans="1:256" s="168" customFormat="1" ht="12.75" x14ac:dyDescent="0.2">
      <c r="A193" s="869"/>
      <c r="B193" s="923"/>
      <c r="C193" s="923"/>
      <c r="D193" s="923"/>
      <c r="E193" s="923"/>
      <c r="F193" s="923"/>
      <c r="G193" s="923"/>
      <c r="H193" s="923"/>
      <c r="I193" s="923"/>
      <c r="J193" s="923"/>
      <c r="K193" s="923"/>
      <c r="L193" s="923"/>
      <c r="M193" s="923"/>
      <c r="N193" s="923"/>
      <c r="O193" s="923"/>
      <c r="P193" s="923"/>
      <c r="Q193" s="912"/>
      <c r="R193" s="913"/>
      <c r="S193" s="167"/>
      <c r="AE193" s="364" t="s">
        <v>444</v>
      </c>
      <c r="AF193" s="249">
        <f>SUM(AG106/AC106/1000)</f>
        <v>0</v>
      </c>
      <c r="AG193" s="249" t="s">
        <v>378</v>
      </c>
      <c r="AH193" s="920" t="e">
        <f>SUM(AH190*Y125)</f>
        <v>#DIV/0!</v>
      </c>
      <c r="AI193" s="920"/>
      <c r="AJ193" s="920"/>
      <c r="AU193" s="364" t="s">
        <v>444</v>
      </c>
      <c r="AV193" s="249">
        <f>SUM(AW106/AS106/1000)</f>
        <v>0</v>
      </c>
      <c r="AW193" s="249" t="s">
        <v>378</v>
      </c>
      <c r="AX193" s="920" t="e">
        <f>SUM(AX190*AO125)</f>
        <v>#DIV/0!</v>
      </c>
      <c r="AY193" s="920"/>
      <c r="AZ193" s="920"/>
      <c r="BK193" s="364" t="s">
        <v>444</v>
      </c>
      <c r="BL193" s="249">
        <f>SUM(BM106/BI106/1000)</f>
        <v>0</v>
      </c>
      <c r="BM193" s="249" t="s">
        <v>378</v>
      </c>
      <c r="BN193" s="920" t="e">
        <f>SUM(BN190*BE125)</f>
        <v>#DIV/0!</v>
      </c>
      <c r="BO193" s="920"/>
      <c r="BP193" s="920"/>
      <c r="CA193" s="364" t="s">
        <v>444</v>
      </c>
      <c r="CB193" s="249">
        <f>SUM(CC106/BY106/1000)</f>
        <v>0</v>
      </c>
      <c r="CC193" s="249" t="s">
        <v>378</v>
      </c>
      <c r="CD193" s="920" t="e">
        <f>SUM(CD190*BU125)</f>
        <v>#DIV/0!</v>
      </c>
      <c r="CE193" s="920"/>
      <c r="CF193" s="920"/>
      <c r="CQ193" s="364" t="s">
        <v>444</v>
      </c>
      <c r="CR193" s="249">
        <f>SUM(CS106/CO106/1000)</f>
        <v>0</v>
      </c>
      <c r="CS193" s="249" t="s">
        <v>378</v>
      </c>
      <c r="CT193" s="920" t="e">
        <f>SUM(CT190*CK125)</f>
        <v>#DIV/0!</v>
      </c>
      <c r="CU193" s="920"/>
      <c r="CV193" s="920"/>
      <c r="DG193" s="364" t="s">
        <v>444</v>
      </c>
      <c r="DH193" s="249">
        <f>SUM(DI106/DE106/1000)</f>
        <v>0</v>
      </c>
      <c r="DI193" s="249" t="s">
        <v>378</v>
      </c>
      <c r="DJ193" s="920" t="e">
        <f>SUM(DJ190*DA125)</f>
        <v>#DIV/0!</v>
      </c>
      <c r="DK193" s="920"/>
      <c r="DL193" s="920"/>
      <c r="DW193" s="364" t="s">
        <v>444</v>
      </c>
      <c r="DX193" s="249">
        <f>SUM(DY106/DU106/1000)</f>
        <v>0</v>
      </c>
      <c r="DY193" s="249" t="s">
        <v>378</v>
      </c>
      <c r="DZ193" s="920" t="e">
        <f>SUM(DZ190*DQ125)</f>
        <v>#DIV/0!</v>
      </c>
      <c r="EA193" s="920"/>
      <c r="EB193" s="920"/>
      <c r="EM193" s="364" t="s">
        <v>444</v>
      </c>
      <c r="EN193" s="249">
        <f>SUM(EO106/EK106/1000)</f>
        <v>0</v>
      </c>
      <c r="EO193" s="249" t="s">
        <v>378</v>
      </c>
      <c r="EP193" s="920" t="e">
        <f>SUM(EP190*EG125)</f>
        <v>#DIV/0!</v>
      </c>
      <c r="EQ193" s="920"/>
      <c r="ER193" s="920"/>
      <c r="FC193" s="364" t="s">
        <v>444</v>
      </c>
      <c r="FD193" s="249">
        <f>SUM(FE106/FA106/1000)</f>
        <v>0</v>
      </c>
      <c r="FE193" s="249" t="s">
        <v>378</v>
      </c>
      <c r="FF193" s="920" t="e">
        <f>SUM(FF190*EW125)</f>
        <v>#DIV/0!</v>
      </c>
      <c r="FG193" s="920"/>
      <c r="FH193" s="920"/>
      <c r="HI193" s="162"/>
      <c r="HJ193" s="162"/>
      <c r="HK193" s="162"/>
      <c r="HL193" s="162"/>
      <c r="HM193" s="162"/>
      <c r="HN193" s="162"/>
      <c r="HO193" s="162"/>
      <c r="HP193" s="162"/>
      <c r="HQ193" s="162"/>
      <c r="HR193" s="162"/>
      <c r="HS193" s="162"/>
      <c r="HT193" s="162"/>
      <c r="HU193" s="162"/>
      <c r="HV193" s="162"/>
      <c r="HW193" s="162"/>
      <c r="HX193" s="162"/>
      <c r="HY193" s="162"/>
      <c r="HZ193" s="162"/>
      <c r="IA193" s="162"/>
      <c r="IB193" s="162"/>
      <c r="IC193" s="162"/>
      <c r="ID193" s="162"/>
      <c r="IE193" s="162"/>
      <c r="IF193" s="162"/>
      <c r="IG193" s="162"/>
      <c r="IH193" s="162"/>
      <c r="II193" s="162"/>
      <c r="IJ193" s="162"/>
      <c r="IK193" s="162"/>
      <c r="IL193" s="162"/>
      <c r="IM193" s="162"/>
      <c r="IN193" s="162"/>
      <c r="IO193" s="162"/>
      <c r="IP193" s="162"/>
      <c r="IQ193" s="162"/>
      <c r="IR193" s="162"/>
      <c r="IS193" s="162"/>
      <c r="IT193" s="162"/>
      <c r="IU193" s="162"/>
      <c r="IV193" s="162"/>
    </row>
    <row r="194" spans="1:256" s="168" customFormat="1" x14ac:dyDescent="0.2">
      <c r="A194" s="869"/>
      <c r="B194" s="923"/>
      <c r="C194" s="923"/>
      <c r="D194" s="923"/>
      <c r="E194" s="923"/>
      <c r="F194" s="923"/>
      <c r="G194" s="923"/>
      <c r="H194" s="923"/>
      <c r="I194" s="923"/>
      <c r="J194" s="923"/>
      <c r="K194" s="923"/>
      <c r="L194" s="923"/>
      <c r="M194" s="923"/>
      <c r="N194" s="923"/>
      <c r="O194" s="923"/>
      <c r="P194" s="923"/>
      <c r="Q194" s="912"/>
      <c r="R194" s="913"/>
      <c r="S194" s="167"/>
      <c r="HI194" s="162"/>
      <c r="HJ194" s="162"/>
      <c r="HK194" s="162"/>
      <c r="HL194" s="162"/>
      <c r="HM194" s="162"/>
      <c r="HN194" s="162"/>
      <c r="HO194" s="162"/>
      <c r="HP194" s="162"/>
      <c r="HQ194" s="162"/>
      <c r="HR194" s="162"/>
      <c r="HS194" s="162"/>
      <c r="HT194" s="162"/>
      <c r="HU194" s="162"/>
      <c r="HV194" s="162"/>
      <c r="HW194" s="162"/>
      <c r="HX194" s="162"/>
      <c r="HY194" s="162"/>
      <c r="HZ194" s="162"/>
      <c r="IA194" s="162"/>
      <c r="IB194" s="162"/>
      <c r="IC194" s="162"/>
      <c r="ID194" s="162"/>
      <c r="IE194" s="162"/>
      <c r="IF194" s="162"/>
      <c r="IG194" s="162"/>
      <c r="IH194" s="162"/>
      <c r="II194" s="162"/>
      <c r="IJ194" s="162"/>
      <c r="IK194" s="162"/>
      <c r="IL194" s="162"/>
      <c r="IM194" s="162"/>
      <c r="IN194" s="162"/>
      <c r="IO194" s="162"/>
      <c r="IP194" s="162"/>
      <c r="IQ194" s="162"/>
      <c r="IR194" s="162"/>
      <c r="IS194" s="162"/>
      <c r="IT194" s="162"/>
      <c r="IU194" s="162"/>
      <c r="IV194" s="162"/>
    </row>
    <row r="195" spans="1:256" s="168" customFormat="1" x14ac:dyDescent="0.2">
      <c r="A195" s="869"/>
      <c r="B195" s="923"/>
      <c r="C195" s="923"/>
      <c r="D195" s="923"/>
      <c r="E195" s="923"/>
      <c r="F195" s="923"/>
      <c r="G195" s="923"/>
      <c r="H195" s="923"/>
      <c r="I195" s="923"/>
      <c r="J195" s="923"/>
      <c r="K195" s="923"/>
      <c r="L195" s="923"/>
      <c r="M195" s="923"/>
      <c r="N195" s="923"/>
      <c r="O195" s="923"/>
      <c r="P195" s="923"/>
      <c r="Q195" s="912"/>
      <c r="R195" s="913"/>
      <c r="S195" s="167"/>
      <c r="AL195" s="169"/>
      <c r="HI195" s="162"/>
      <c r="HJ195" s="162"/>
      <c r="HK195" s="162"/>
      <c r="HL195" s="162"/>
      <c r="HM195" s="162"/>
      <c r="HN195" s="162"/>
      <c r="HO195" s="162"/>
      <c r="HP195" s="162"/>
      <c r="HQ195" s="162"/>
      <c r="HR195" s="162"/>
      <c r="HS195" s="162"/>
      <c r="HT195" s="162"/>
      <c r="HU195" s="162"/>
      <c r="HV195" s="162"/>
      <c r="HW195" s="162"/>
      <c r="HX195" s="162"/>
      <c r="HY195" s="162"/>
      <c r="HZ195" s="162"/>
      <c r="IA195" s="162"/>
      <c r="IB195" s="162"/>
      <c r="IC195" s="162"/>
      <c r="ID195" s="162"/>
      <c r="IE195" s="162"/>
      <c r="IF195" s="162"/>
      <c r="IG195" s="162"/>
      <c r="IH195" s="162"/>
      <c r="II195" s="162"/>
      <c r="IJ195" s="162"/>
      <c r="IK195" s="162"/>
      <c r="IL195" s="162"/>
      <c r="IM195" s="162"/>
      <c r="IN195" s="162"/>
      <c r="IO195" s="162"/>
      <c r="IP195" s="162"/>
      <c r="IQ195" s="162"/>
      <c r="IR195" s="162"/>
      <c r="IS195" s="162"/>
      <c r="IT195" s="162"/>
      <c r="IU195" s="162"/>
      <c r="IV195" s="162"/>
    </row>
    <row r="196" spans="1:256" s="168" customFormat="1" x14ac:dyDescent="0.2">
      <c r="A196" s="869"/>
      <c r="B196" s="923"/>
      <c r="C196" s="923"/>
      <c r="D196" s="923"/>
      <c r="E196" s="923"/>
      <c r="F196" s="923"/>
      <c r="G196" s="923"/>
      <c r="H196" s="923"/>
      <c r="I196" s="923"/>
      <c r="J196" s="923"/>
      <c r="K196" s="923"/>
      <c r="L196" s="923"/>
      <c r="M196" s="923"/>
      <c r="N196" s="923"/>
      <c r="O196" s="923"/>
      <c r="P196" s="923"/>
      <c r="Q196" s="912"/>
      <c r="R196" s="913"/>
      <c r="S196" s="167"/>
      <c r="AL196" s="169"/>
      <c r="HI196" s="162"/>
      <c r="HJ196" s="162"/>
      <c r="HK196" s="162"/>
      <c r="HL196" s="162"/>
      <c r="HM196" s="162"/>
      <c r="HN196" s="162"/>
      <c r="HO196" s="162"/>
      <c r="HP196" s="162"/>
      <c r="HQ196" s="162"/>
      <c r="HR196" s="162"/>
      <c r="HS196" s="162"/>
      <c r="HT196" s="162"/>
      <c r="HU196" s="162"/>
      <c r="HV196" s="162"/>
      <c r="HW196" s="162"/>
      <c r="HX196" s="162"/>
      <c r="HY196" s="162"/>
      <c r="HZ196" s="162"/>
      <c r="IA196" s="162"/>
      <c r="IB196" s="162"/>
      <c r="IC196" s="162"/>
      <c r="ID196" s="162"/>
      <c r="IE196" s="162"/>
      <c r="IF196" s="162"/>
      <c r="IG196" s="162"/>
      <c r="IH196" s="162"/>
      <c r="II196" s="162"/>
      <c r="IJ196" s="162"/>
      <c r="IK196" s="162"/>
      <c r="IL196" s="162"/>
      <c r="IM196" s="162"/>
      <c r="IN196" s="162"/>
      <c r="IO196" s="162"/>
      <c r="IP196" s="162"/>
      <c r="IQ196" s="162"/>
      <c r="IR196" s="162"/>
      <c r="IS196" s="162"/>
      <c r="IT196" s="162"/>
      <c r="IU196" s="162"/>
      <c r="IV196" s="162"/>
    </row>
    <row r="197" spans="1:256" s="168" customFormat="1" x14ac:dyDescent="0.2">
      <c r="A197" s="869"/>
      <c r="B197" s="923"/>
      <c r="C197" s="923"/>
      <c r="D197" s="923"/>
      <c r="E197" s="923"/>
      <c r="F197" s="923"/>
      <c r="G197" s="923"/>
      <c r="H197" s="923"/>
      <c r="I197" s="923"/>
      <c r="J197" s="923"/>
      <c r="K197" s="923"/>
      <c r="L197" s="923"/>
      <c r="M197" s="923"/>
      <c r="N197" s="923"/>
      <c r="O197" s="923"/>
      <c r="P197" s="923"/>
      <c r="Q197" s="912"/>
      <c r="R197" s="913"/>
      <c r="S197" s="167"/>
      <c r="AL197" s="169"/>
      <c r="HI197" s="162"/>
      <c r="HJ197" s="162"/>
      <c r="HK197" s="162"/>
      <c r="HL197" s="162"/>
      <c r="HM197" s="162"/>
      <c r="HN197" s="162"/>
      <c r="HO197" s="162"/>
      <c r="HP197" s="162"/>
      <c r="HQ197" s="162"/>
      <c r="HR197" s="162"/>
      <c r="HS197" s="162"/>
      <c r="HT197" s="162"/>
      <c r="HU197" s="162"/>
      <c r="HV197" s="162"/>
      <c r="HW197" s="162"/>
      <c r="HX197" s="162"/>
      <c r="HY197" s="162"/>
      <c r="HZ197" s="162"/>
      <c r="IA197" s="162"/>
      <c r="IB197" s="162"/>
      <c r="IC197" s="162"/>
      <c r="ID197" s="162"/>
      <c r="IE197" s="162"/>
      <c r="IF197" s="162"/>
      <c r="IG197" s="162"/>
      <c r="IH197" s="162"/>
      <c r="II197" s="162"/>
      <c r="IJ197" s="162"/>
      <c r="IK197" s="162"/>
      <c r="IL197" s="162"/>
      <c r="IM197" s="162"/>
      <c r="IN197" s="162"/>
      <c r="IO197" s="162"/>
      <c r="IP197" s="162"/>
      <c r="IQ197" s="162"/>
      <c r="IR197" s="162"/>
      <c r="IS197" s="162"/>
      <c r="IT197" s="162"/>
      <c r="IU197" s="162"/>
      <c r="IV197" s="162"/>
    </row>
    <row r="198" spans="1:256" s="168" customFormat="1" x14ac:dyDescent="0.2">
      <c r="A198" s="869"/>
      <c r="B198" s="923"/>
      <c r="C198" s="923"/>
      <c r="D198" s="923"/>
      <c r="E198" s="923"/>
      <c r="F198" s="923"/>
      <c r="G198" s="923"/>
      <c r="H198" s="923"/>
      <c r="I198" s="923"/>
      <c r="J198" s="923"/>
      <c r="K198" s="923"/>
      <c r="L198" s="923"/>
      <c r="M198" s="923"/>
      <c r="N198" s="923"/>
      <c r="O198" s="923"/>
      <c r="P198" s="923"/>
      <c r="Q198" s="912"/>
      <c r="R198" s="913"/>
      <c r="S198" s="167"/>
      <c r="AL198" s="169"/>
      <c r="HI198" s="162"/>
      <c r="HJ198" s="162"/>
      <c r="HK198" s="162"/>
      <c r="HL198" s="162"/>
      <c r="HM198" s="162"/>
      <c r="HN198" s="162"/>
      <c r="HO198" s="162"/>
      <c r="HP198" s="162"/>
      <c r="HQ198" s="162"/>
      <c r="HR198" s="162"/>
      <c r="HS198" s="162"/>
      <c r="HT198" s="162"/>
      <c r="HU198" s="162"/>
      <c r="HV198" s="162"/>
      <c r="HW198" s="162"/>
      <c r="HX198" s="162"/>
      <c r="HY198" s="162"/>
      <c r="HZ198" s="162"/>
      <c r="IA198" s="162"/>
      <c r="IB198" s="162"/>
      <c r="IC198" s="162"/>
      <c r="ID198" s="162"/>
      <c r="IE198" s="162"/>
      <c r="IF198" s="162"/>
      <c r="IG198" s="162"/>
      <c r="IH198" s="162"/>
      <c r="II198" s="162"/>
      <c r="IJ198" s="162"/>
      <c r="IK198" s="162"/>
      <c r="IL198" s="162"/>
      <c r="IM198" s="162"/>
      <c r="IN198" s="162"/>
      <c r="IO198" s="162"/>
      <c r="IP198" s="162"/>
      <c r="IQ198" s="162"/>
      <c r="IR198" s="162"/>
      <c r="IS198" s="162"/>
      <c r="IT198" s="162"/>
      <c r="IU198" s="162"/>
      <c r="IV198" s="162"/>
    </row>
    <row r="199" spans="1:256" s="168" customFormat="1" x14ac:dyDescent="0.2">
      <c r="A199" s="869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3"/>
      <c r="M199" s="162"/>
      <c r="N199" s="162"/>
      <c r="O199" s="162"/>
      <c r="P199" s="162"/>
      <c r="Q199" s="912"/>
      <c r="R199" s="913"/>
      <c r="S199" s="167"/>
      <c r="AL199" s="169"/>
      <c r="HI199" s="162"/>
      <c r="HJ199" s="162"/>
      <c r="HK199" s="162"/>
      <c r="HL199" s="162"/>
      <c r="HM199" s="162"/>
      <c r="HN199" s="162"/>
      <c r="HO199" s="162"/>
      <c r="HP199" s="162"/>
      <c r="HQ199" s="162"/>
      <c r="HR199" s="162"/>
      <c r="HS199" s="162"/>
      <c r="HT199" s="162"/>
      <c r="HU199" s="162"/>
      <c r="HV199" s="162"/>
      <c r="HW199" s="162"/>
      <c r="HX199" s="162"/>
      <c r="HY199" s="162"/>
      <c r="HZ199" s="162"/>
      <c r="IA199" s="162"/>
      <c r="IB199" s="162"/>
      <c r="IC199" s="162"/>
      <c r="ID199" s="162"/>
      <c r="IE199" s="162"/>
      <c r="IF199" s="162"/>
      <c r="IG199" s="162"/>
      <c r="IH199" s="162"/>
      <c r="II199" s="162"/>
      <c r="IJ199" s="162"/>
      <c r="IK199" s="162"/>
      <c r="IL199" s="162"/>
      <c r="IM199" s="162"/>
      <c r="IN199" s="162"/>
      <c r="IO199" s="162"/>
      <c r="IP199" s="162"/>
      <c r="IQ199" s="162"/>
      <c r="IR199" s="162"/>
      <c r="IS199" s="162"/>
      <c r="IT199" s="162"/>
      <c r="IU199" s="162"/>
      <c r="IV199" s="162"/>
    </row>
    <row r="200" spans="1:256" s="168" customFormat="1" x14ac:dyDescent="0.2">
      <c r="A200" s="869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3"/>
      <c r="M200" s="162"/>
      <c r="N200" s="162"/>
      <c r="O200" s="162"/>
      <c r="P200" s="162"/>
      <c r="Q200" s="912"/>
      <c r="R200" s="913"/>
      <c r="S200" s="167"/>
      <c r="AL200" s="169"/>
      <c r="HI200" s="162"/>
      <c r="HJ200" s="162"/>
      <c r="HK200" s="162"/>
      <c r="HL200" s="162"/>
      <c r="HM200" s="162"/>
      <c r="HN200" s="162"/>
      <c r="HO200" s="162"/>
      <c r="HP200" s="162"/>
      <c r="HQ200" s="162"/>
      <c r="HR200" s="162"/>
      <c r="HS200" s="162"/>
      <c r="HT200" s="162"/>
      <c r="HU200" s="162"/>
      <c r="HV200" s="162"/>
      <c r="HW200" s="162"/>
      <c r="HX200" s="162"/>
      <c r="HY200" s="162"/>
      <c r="HZ200" s="162"/>
      <c r="IA200" s="162"/>
      <c r="IB200" s="162"/>
      <c r="IC200" s="162"/>
      <c r="ID200" s="162"/>
      <c r="IE200" s="162"/>
      <c r="IF200" s="162"/>
      <c r="IG200" s="162"/>
      <c r="IH200" s="162"/>
      <c r="II200" s="162"/>
      <c r="IJ200" s="162"/>
      <c r="IK200" s="162"/>
      <c r="IL200" s="162"/>
      <c r="IM200" s="162"/>
      <c r="IN200" s="162"/>
      <c r="IO200" s="162"/>
      <c r="IP200" s="162"/>
      <c r="IQ200" s="162"/>
      <c r="IR200" s="162"/>
      <c r="IS200" s="162"/>
      <c r="IT200" s="162"/>
      <c r="IU200" s="162"/>
      <c r="IV200" s="162"/>
    </row>
    <row r="201" spans="1:256" s="168" customFormat="1" x14ac:dyDescent="0.2">
      <c r="A201" s="869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3"/>
      <c r="M201" s="162"/>
      <c r="N201" s="162"/>
      <c r="O201" s="162"/>
      <c r="P201" s="162"/>
      <c r="Q201" s="912"/>
      <c r="R201" s="913"/>
      <c r="S201" s="167"/>
      <c r="AL201" s="169"/>
      <c r="HI201" s="162"/>
      <c r="HJ201" s="162"/>
      <c r="HK201" s="162"/>
      <c r="HL201" s="162"/>
      <c r="HM201" s="162"/>
      <c r="HN201" s="162"/>
      <c r="HO201" s="162"/>
      <c r="HP201" s="162"/>
      <c r="HQ201" s="162"/>
      <c r="HR201" s="162"/>
      <c r="HS201" s="162"/>
      <c r="HT201" s="162"/>
      <c r="HU201" s="162"/>
      <c r="HV201" s="162"/>
      <c r="HW201" s="162"/>
      <c r="HX201" s="162"/>
      <c r="HY201" s="162"/>
      <c r="HZ201" s="162"/>
      <c r="IA201" s="162"/>
      <c r="IB201" s="162"/>
      <c r="IC201" s="162"/>
      <c r="ID201" s="162"/>
      <c r="IE201" s="162"/>
      <c r="IF201" s="162"/>
      <c r="IG201" s="162"/>
      <c r="IH201" s="162"/>
      <c r="II201" s="162"/>
      <c r="IJ201" s="162"/>
      <c r="IK201" s="162"/>
      <c r="IL201" s="162"/>
      <c r="IM201" s="162"/>
      <c r="IN201" s="162"/>
      <c r="IO201" s="162"/>
      <c r="IP201" s="162"/>
      <c r="IQ201" s="162"/>
      <c r="IR201" s="162"/>
      <c r="IS201" s="162"/>
      <c r="IT201" s="162"/>
      <c r="IU201" s="162"/>
      <c r="IV201" s="162"/>
    </row>
    <row r="202" spans="1:256" s="168" customFormat="1" x14ac:dyDescent="0.2">
      <c r="A202" s="869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3"/>
      <c r="M202" s="162"/>
      <c r="N202" s="162"/>
      <c r="O202" s="162"/>
      <c r="P202" s="162"/>
      <c r="Q202" s="912"/>
      <c r="R202" s="913"/>
      <c r="S202" s="167"/>
      <c r="AL202" s="169"/>
      <c r="HI202" s="162"/>
      <c r="HJ202" s="162"/>
      <c r="HK202" s="162"/>
      <c r="HL202" s="162"/>
      <c r="HM202" s="162"/>
      <c r="HN202" s="162"/>
      <c r="HO202" s="162"/>
      <c r="HP202" s="162"/>
      <c r="HQ202" s="162"/>
      <c r="HR202" s="162"/>
      <c r="HS202" s="162"/>
      <c r="HT202" s="162"/>
      <c r="HU202" s="162"/>
      <c r="HV202" s="162"/>
      <c r="HW202" s="162"/>
      <c r="HX202" s="162"/>
      <c r="HY202" s="162"/>
      <c r="HZ202" s="162"/>
      <c r="IA202" s="162"/>
      <c r="IB202" s="162"/>
      <c r="IC202" s="162"/>
      <c r="ID202" s="162"/>
      <c r="IE202" s="162"/>
      <c r="IF202" s="162"/>
      <c r="IG202" s="162"/>
      <c r="IH202" s="162"/>
      <c r="II202" s="162"/>
      <c r="IJ202" s="162"/>
      <c r="IK202" s="162"/>
      <c r="IL202" s="162"/>
      <c r="IM202" s="162"/>
      <c r="IN202" s="162"/>
      <c r="IO202" s="162"/>
      <c r="IP202" s="162"/>
      <c r="IQ202" s="162"/>
      <c r="IR202" s="162"/>
      <c r="IS202" s="162"/>
      <c r="IT202" s="162"/>
      <c r="IU202" s="162"/>
      <c r="IV202" s="162"/>
    </row>
    <row r="203" spans="1:256" s="168" customFormat="1" x14ac:dyDescent="0.2">
      <c r="A203" s="869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3"/>
      <c r="M203" s="162"/>
      <c r="N203" s="162"/>
      <c r="O203" s="162"/>
      <c r="P203" s="162"/>
      <c r="Q203" s="912"/>
      <c r="R203" s="913"/>
      <c r="S203" s="167"/>
      <c r="AL203" s="169"/>
      <c r="HI203" s="162"/>
      <c r="HJ203" s="162"/>
      <c r="HK203" s="162"/>
      <c r="HL203" s="162"/>
      <c r="HM203" s="162"/>
      <c r="HN203" s="162"/>
      <c r="HO203" s="162"/>
      <c r="HP203" s="162"/>
      <c r="HQ203" s="162"/>
      <c r="HR203" s="162"/>
      <c r="HS203" s="162"/>
      <c r="HT203" s="162"/>
      <c r="HU203" s="162"/>
      <c r="HV203" s="162"/>
      <c r="HW203" s="162"/>
      <c r="HX203" s="162"/>
      <c r="HY203" s="162"/>
      <c r="HZ203" s="162"/>
      <c r="IA203" s="162"/>
      <c r="IB203" s="162"/>
      <c r="IC203" s="162"/>
      <c r="ID203" s="162"/>
      <c r="IE203" s="162"/>
      <c r="IF203" s="162"/>
      <c r="IG203" s="162"/>
      <c r="IH203" s="162"/>
      <c r="II203" s="162"/>
      <c r="IJ203" s="162"/>
      <c r="IK203" s="162"/>
      <c r="IL203" s="162"/>
      <c r="IM203" s="162"/>
      <c r="IN203" s="162"/>
      <c r="IO203" s="162"/>
      <c r="IP203" s="162"/>
      <c r="IQ203" s="162"/>
      <c r="IR203" s="162"/>
      <c r="IS203" s="162"/>
      <c r="IT203" s="162"/>
      <c r="IU203" s="162"/>
      <c r="IV203" s="162"/>
    </row>
    <row r="204" spans="1:256" s="168" customFormat="1" x14ac:dyDescent="0.2">
      <c r="A204" s="869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3"/>
      <c r="M204" s="162"/>
      <c r="N204" s="162"/>
      <c r="O204" s="162"/>
      <c r="P204" s="162"/>
      <c r="Q204" s="912"/>
      <c r="R204" s="913"/>
      <c r="S204" s="167"/>
      <c r="AL204" s="169"/>
      <c r="HI204" s="162"/>
      <c r="HJ204" s="162"/>
      <c r="HK204" s="162"/>
      <c r="HL204" s="162"/>
      <c r="HM204" s="162"/>
      <c r="HN204" s="162"/>
      <c r="HO204" s="162"/>
      <c r="HP204" s="162"/>
      <c r="HQ204" s="162"/>
      <c r="HR204" s="162"/>
      <c r="HS204" s="162"/>
      <c r="HT204" s="162"/>
      <c r="HU204" s="162"/>
      <c r="HV204" s="162"/>
      <c r="HW204" s="162"/>
      <c r="HX204" s="162"/>
      <c r="HY204" s="162"/>
      <c r="HZ204" s="162"/>
      <c r="IA204" s="162"/>
      <c r="IB204" s="162"/>
      <c r="IC204" s="162"/>
      <c r="ID204" s="162"/>
      <c r="IE204" s="162"/>
      <c r="IF204" s="162"/>
      <c r="IG204" s="162"/>
      <c r="IH204" s="162"/>
      <c r="II204" s="162"/>
      <c r="IJ204" s="162"/>
      <c r="IK204" s="162"/>
      <c r="IL204" s="162"/>
      <c r="IM204" s="162"/>
      <c r="IN204" s="162"/>
      <c r="IO204" s="162"/>
      <c r="IP204" s="162"/>
      <c r="IQ204" s="162"/>
      <c r="IR204" s="162"/>
      <c r="IS204" s="162"/>
      <c r="IT204" s="162"/>
      <c r="IU204" s="162"/>
      <c r="IV204" s="162"/>
    </row>
    <row r="205" spans="1:256" s="168" customFormat="1" ht="12.75" x14ac:dyDescent="0.2">
      <c r="A205" s="869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3"/>
      <c r="M205" s="162"/>
      <c r="N205" s="162"/>
      <c r="O205" s="162"/>
      <c r="P205" s="162"/>
      <c r="Q205" s="912"/>
      <c r="R205" s="913"/>
      <c r="S205" s="167"/>
      <c r="AL205" s="169"/>
      <c r="AN205" s="172"/>
      <c r="AO205" s="172"/>
      <c r="AP205" s="172"/>
      <c r="AQ205" s="172"/>
      <c r="AR205" s="172"/>
      <c r="AS205" s="172"/>
      <c r="AT205" s="172"/>
      <c r="HI205" s="162"/>
      <c r="HJ205" s="162"/>
      <c r="HK205" s="162"/>
      <c r="HL205" s="162"/>
      <c r="HM205" s="162"/>
      <c r="HN205" s="162"/>
      <c r="HO205" s="162"/>
      <c r="HP205" s="162"/>
      <c r="HQ205" s="162"/>
      <c r="HR205" s="162"/>
      <c r="HS205" s="162"/>
      <c r="HT205" s="162"/>
      <c r="HU205" s="162"/>
      <c r="HV205" s="162"/>
      <c r="HW205" s="162"/>
      <c r="HX205" s="162"/>
      <c r="HY205" s="162"/>
      <c r="HZ205" s="162"/>
      <c r="IA205" s="162"/>
      <c r="IB205" s="162"/>
      <c r="IC205" s="162"/>
      <c r="ID205" s="162"/>
      <c r="IE205" s="162"/>
      <c r="IF205" s="162"/>
      <c r="IG205" s="162"/>
      <c r="IH205" s="162"/>
      <c r="II205" s="162"/>
      <c r="IJ205" s="162"/>
      <c r="IK205" s="162"/>
      <c r="IL205" s="162"/>
      <c r="IM205" s="162"/>
      <c r="IN205" s="162"/>
      <c r="IO205" s="162"/>
      <c r="IP205" s="162"/>
      <c r="IQ205" s="162"/>
      <c r="IR205" s="162"/>
      <c r="IS205" s="162"/>
      <c r="IT205" s="162"/>
      <c r="IU205" s="162"/>
      <c r="IV205" s="162"/>
    </row>
    <row r="206" spans="1:256" s="168" customFormat="1" ht="12.75" x14ac:dyDescent="0.2">
      <c r="A206" s="869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3"/>
      <c r="M206" s="162"/>
      <c r="N206" s="162"/>
      <c r="O206" s="162"/>
      <c r="P206" s="162"/>
      <c r="Q206" s="912"/>
      <c r="R206" s="913"/>
      <c r="S206" s="167"/>
      <c r="AL206" s="169"/>
      <c r="AN206" s="172"/>
      <c r="AO206" s="172"/>
      <c r="AP206" s="172"/>
      <c r="AQ206" s="172"/>
      <c r="AR206" s="172"/>
      <c r="AS206" s="172"/>
      <c r="AT206" s="172"/>
      <c r="HI206" s="162"/>
      <c r="HJ206" s="162"/>
      <c r="HK206" s="162"/>
      <c r="HL206" s="162"/>
      <c r="HM206" s="162"/>
      <c r="HN206" s="162"/>
      <c r="HO206" s="162"/>
      <c r="HP206" s="162"/>
      <c r="HQ206" s="162"/>
      <c r="HR206" s="162"/>
      <c r="HS206" s="162"/>
      <c r="HT206" s="162"/>
      <c r="HU206" s="162"/>
      <c r="HV206" s="162"/>
      <c r="HW206" s="162"/>
      <c r="HX206" s="162"/>
      <c r="HY206" s="162"/>
      <c r="HZ206" s="162"/>
      <c r="IA206" s="162"/>
      <c r="IB206" s="162"/>
      <c r="IC206" s="162"/>
      <c r="ID206" s="162"/>
      <c r="IE206" s="162"/>
      <c r="IF206" s="162"/>
      <c r="IG206" s="162"/>
      <c r="IH206" s="162"/>
      <c r="II206" s="162"/>
      <c r="IJ206" s="162"/>
      <c r="IK206" s="162"/>
      <c r="IL206" s="162"/>
      <c r="IM206" s="162"/>
      <c r="IN206" s="162"/>
      <c r="IO206" s="162"/>
      <c r="IP206" s="162"/>
      <c r="IQ206" s="162"/>
      <c r="IR206" s="162"/>
      <c r="IS206" s="162"/>
      <c r="IT206" s="162"/>
      <c r="IU206" s="162"/>
      <c r="IV206" s="162"/>
    </row>
    <row r="207" spans="1:256" s="168" customFormat="1" ht="12.75" x14ac:dyDescent="0.2">
      <c r="A207" s="869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3"/>
      <c r="M207" s="162"/>
      <c r="N207" s="162"/>
      <c r="O207" s="162"/>
      <c r="P207" s="162"/>
      <c r="Q207" s="912"/>
      <c r="R207" s="913"/>
      <c r="S207" s="167"/>
      <c r="AL207" s="169"/>
      <c r="AN207" s="172"/>
      <c r="AO207" s="172"/>
      <c r="AP207" s="172"/>
      <c r="AQ207" s="172"/>
      <c r="AR207" s="172"/>
      <c r="AS207" s="172"/>
      <c r="AT207" s="172"/>
      <c r="HI207" s="162"/>
      <c r="HJ207" s="162"/>
      <c r="HK207" s="162"/>
      <c r="HL207" s="162"/>
      <c r="HM207" s="162"/>
      <c r="HN207" s="162"/>
      <c r="HO207" s="162"/>
      <c r="HP207" s="162"/>
      <c r="HQ207" s="162"/>
      <c r="HR207" s="162"/>
      <c r="HS207" s="162"/>
      <c r="HT207" s="162"/>
      <c r="HU207" s="162"/>
      <c r="HV207" s="162"/>
      <c r="HW207" s="162"/>
      <c r="HX207" s="162"/>
      <c r="HY207" s="162"/>
      <c r="HZ207" s="162"/>
      <c r="IA207" s="162"/>
      <c r="IB207" s="162"/>
      <c r="IC207" s="162"/>
      <c r="ID207" s="162"/>
      <c r="IE207" s="162"/>
      <c r="IF207" s="162"/>
      <c r="IG207" s="162"/>
      <c r="IH207" s="162"/>
      <c r="II207" s="162"/>
      <c r="IJ207" s="162"/>
      <c r="IK207" s="162"/>
      <c r="IL207" s="162"/>
      <c r="IM207" s="162"/>
      <c r="IN207" s="162"/>
      <c r="IO207" s="162"/>
      <c r="IP207" s="162"/>
      <c r="IQ207" s="162"/>
      <c r="IR207" s="162"/>
      <c r="IS207" s="162"/>
      <c r="IT207" s="162"/>
      <c r="IU207" s="162"/>
      <c r="IV207" s="162"/>
    </row>
    <row r="208" spans="1:256" s="168" customFormat="1" ht="12.75" x14ac:dyDescent="0.2">
      <c r="A208" s="869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3"/>
      <c r="M208" s="162"/>
      <c r="N208" s="162"/>
      <c r="O208" s="162"/>
      <c r="P208" s="162"/>
      <c r="Q208" s="912"/>
      <c r="R208" s="913"/>
      <c r="S208" s="167"/>
      <c r="AL208" s="169"/>
      <c r="AN208" s="172"/>
      <c r="AO208" s="172"/>
      <c r="AP208" s="172"/>
      <c r="AQ208" s="172"/>
      <c r="AR208" s="172"/>
      <c r="AS208" s="172"/>
      <c r="AT208" s="172"/>
      <c r="HI208" s="162"/>
      <c r="HJ208" s="162"/>
      <c r="HK208" s="162"/>
      <c r="HL208" s="162"/>
      <c r="HM208" s="162"/>
      <c r="HN208" s="162"/>
      <c r="HO208" s="162"/>
      <c r="HP208" s="162"/>
      <c r="HQ208" s="162"/>
      <c r="HR208" s="162"/>
      <c r="HS208" s="162"/>
      <c r="HT208" s="162"/>
      <c r="HU208" s="162"/>
      <c r="HV208" s="162"/>
      <c r="HW208" s="162"/>
      <c r="HX208" s="162"/>
      <c r="HY208" s="162"/>
      <c r="HZ208" s="162"/>
      <c r="IA208" s="162"/>
      <c r="IB208" s="162"/>
      <c r="IC208" s="162"/>
      <c r="ID208" s="162"/>
      <c r="IE208" s="162"/>
      <c r="IF208" s="162"/>
      <c r="IG208" s="162"/>
      <c r="IH208" s="162"/>
      <c r="II208" s="162"/>
      <c r="IJ208" s="162"/>
      <c r="IK208" s="162"/>
      <c r="IL208" s="162"/>
      <c r="IM208" s="162"/>
      <c r="IN208" s="162"/>
      <c r="IO208" s="162"/>
      <c r="IP208" s="162"/>
      <c r="IQ208" s="162"/>
      <c r="IR208" s="162"/>
      <c r="IS208" s="162"/>
      <c r="IT208" s="162"/>
      <c r="IU208" s="162"/>
      <c r="IV208" s="162"/>
    </row>
    <row r="209" spans="1:256" s="168" customFormat="1" ht="12.75" x14ac:dyDescent="0.2">
      <c r="A209" s="869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3"/>
      <c r="M209" s="162"/>
      <c r="N209" s="162"/>
      <c r="O209" s="162"/>
      <c r="P209" s="162"/>
      <c r="Q209" s="912"/>
      <c r="R209" s="913"/>
      <c r="S209" s="167"/>
      <c r="AL209" s="169"/>
      <c r="AN209" s="172"/>
      <c r="AO209" s="172"/>
      <c r="AP209" s="172"/>
      <c r="AQ209" s="172"/>
      <c r="AR209" s="172"/>
      <c r="AS209" s="172"/>
      <c r="AT209" s="172"/>
      <c r="HI209" s="162"/>
      <c r="HJ209" s="162"/>
      <c r="HK209" s="162"/>
      <c r="HL209" s="162"/>
      <c r="HM209" s="162"/>
      <c r="HN209" s="162"/>
      <c r="HO209" s="162"/>
      <c r="HP209" s="162"/>
      <c r="HQ209" s="162"/>
      <c r="HR209" s="162"/>
      <c r="HS209" s="162"/>
      <c r="HT209" s="162"/>
      <c r="HU209" s="162"/>
      <c r="HV209" s="162"/>
      <c r="HW209" s="162"/>
      <c r="HX209" s="162"/>
      <c r="HY209" s="162"/>
      <c r="HZ209" s="162"/>
      <c r="IA209" s="162"/>
      <c r="IB209" s="162"/>
      <c r="IC209" s="162"/>
      <c r="ID209" s="162"/>
      <c r="IE209" s="162"/>
      <c r="IF209" s="162"/>
      <c r="IG209" s="162"/>
      <c r="IH209" s="162"/>
      <c r="II209" s="162"/>
      <c r="IJ209" s="162"/>
      <c r="IK209" s="162"/>
      <c r="IL209" s="162"/>
      <c r="IM209" s="162"/>
      <c r="IN209" s="162"/>
      <c r="IO209" s="162"/>
      <c r="IP209" s="162"/>
      <c r="IQ209" s="162"/>
      <c r="IR209" s="162"/>
      <c r="IS209" s="162"/>
      <c r="IT209" s="162"/>
      <c r="IU209" s="162"/>
      <c r="IV209" s="162"/>
    </row>
    <row r="210" spans="1:256" s="168" customFormat="1" ht="12.75" x14ac:dyDescent="0.2">
      <c r="A210" s="869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3"/>
      <c r="M210" s="162"/>
      <c r="N210" s="162"/>
      <c r="O210" s="162"/>
      <c r="P210" s="162"/>
      <c r="Q210" s="912"/>
      <c r="R210" s="913"/>
      <c r="S210" s="167"/>
      <c r="AL210" s="169"/>
      <c r="AN210" s="172"/>
      <c r="AO210" s="172"/>
      <c r="AP210" s="172"/>
      <c r="AQ210" s="172"/>
      <c r="AR210" s="172"/>
      <c r="AS210" s="172"/>
      <c r="AT210" s="172"/>
      <c r="HI210" s="162"/>
      <c r="HJ210" s="162"/>
      <c r="HK210" s="162"/>
      <c r="HL210" s="162"/>
      <c r="HM210" s="162"/>
      <c r="HN210" s="162"/>
      <c r="HO210" s="162"/>
      <c r="HP210" s="162"/>
      <c r="HQ210" s="162"/>
      <c r="HR210" s="162"/>
      <c r="HS210" s="162"/>
      <c r="HT210" s="162"/>
      <c r="HU210" s="162"/>
      <c r="HV210" s="162"/>
      <c r="HW210" s="162"/>
      <c r="HX210" s="162"/>
      <c r="HY210" s="162"/>
      <c r="HZ210" s="162"/>
      <c r="IA210" s="162"/>
      <c r="IB210" s="162"/>
      <c r="IC210" s="162"/>
      <c r="ID210" s="162"/>
      <c r="IE210" s="162"/>
      <c r="IF210" s="162"/>
      <c r="IG210" s="162"/>
      <c r="IH210" s="162"/>
      <c r="II210" s="162"/>
      <c r="IJ210" s="162"/>
      <c r="IK210" s="162"/>
      <c r="IL210" s="162"/>
      <c r="IM210" s="162"/>
      <c r="IN210" s="162"/>
      <c r="IO210" s="162"/>
      <c r="IP210" s="162"/>
      <c r="IQ210" s="162"/>
      <c r="IR210" s="162"/>
      <c r="IS210" s="162"/>
      <c r="IT210" s="162"/>
      <c r="IU210" s="162"/>
      <c r="IV210" s="162"/>
    </row>
    <row r="211" spans="1:256" s="168" customFormat="1" ht="12.75" x14ac:dyDescent="0.2">
      <c r="A211" s="869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3"/>
      <c r="M211" s="162"/>
      <c r="N211" s="162"/>
      <c r="O211" s="162"/>
      <c r="P211" s="162"/>
      <c r="Q211" s="912"/>
      <c r="R211" s="913"/>
      <c r="S211" s="167"/>
      <c r="AL211" s="169"/>
      <c r="AN211" s="172"/>
      <c r="AO211" s="172"/>
      <c r="AP211" s="172"/>
      <c r="AQ211" s="172"/>
      <c r="AR211" s="172"/>
      <c r="AS211" s="172"/>
      <c r="AT211" s="172"/>
      <c r="HI211" s="162"/>
      <c r="HJ211" s="162"/>
      <c r="HK211" s="162"/>
      <c r="HL211" s="162"/>
      <c r="HM211" s="162"/>
      <c r="HN211" s="162"/>
      <c r="HO211" s="162"/>
      <c r="HP211" s="162"/>
      <c r="HQ211" s="162"/>
      <c r="HR211" s="162"/>
      <c r="HS211" s="162"/>
      <c r="HT211" s="162"/>
      <c r="HU211" s="162"/>
      <c r="HV211" s="162"/>
      <c r="HW211" s="162"/>
      <c r="HX211" s="162"/>
      <c r="HY211" s="162"/>
      <c r="HZ211" s="162"/>
      <c r="IA211" s="162"/>
      <c r="IB211" s="162"/>
      <c r="IC211" s="162"/>
      <c r="ID211" s="162"/>
      <c r="IE211" s="162"/>
      <c r="IF211" s="162"/>
      <c r="IG211" s="162"/>
      <c r="IH211" s="162"/>
      <c r="II211" s="162"/>
      <c r="IJ211" s="162"/>
      <c r="IK211" s="162"/>
      <c r="IL211" s="162"/>
      <c r="IM211" s="162"/>
      <c r="IN211" s="162"/>
      <c r="IO211" s="162"/>
      <c r="IP211" s="162"/>
      <c r="IQ211" s="162"/>
      <c r="IR211" s="162"/>
      <c r="IS211" s="162"/>
      <c r="IT211" s="162"/>
      <c r="IU211" s="162"/>
      <c r="IV211" s="162"/>
    </row>
    <row r="212" spans="1:256" ht="12.75" x14ac:dyDescent="0.2">
      <c r="M212" s="162"/>
      <c r="N212" s="162"/>
      <c r="O212" s="162"/>
      <c r="P212" s="162"/>
      <c r="R212" s="913"/>
      <c r="AN212" s="172"/>
      <c r="AO212" s="172"/>
      <c r="AP212" s="172"/>
      <c r="AQ212" s="172"/>
      <c r="AR212" s="172"/>
      <c r="AS212" s="172"/>
      <c r="AT212" s="172"/>
    </row>
    <row r="213" spans="1:256" ht="12.75" x14ac:dyDescent="0.2">
      <c r="M213" s="162"/>
      <c r="N213" s="162"/>
      <c r="O213" s="162"/>
      <c r="P213" s="162"/>
      <c r="R213" s="913"/>
      <c r="AN213" s="172"/>
      <c r="AO213" s="172"/>
      <c r="AP213" s="172"/>
      <c r="AQ213" s="172"/>
      <c r="AR213" s="172"/>
      <c r="AS213" s="172"/>
      <c r="AT213" s="172"/>
    </row>
    <row r="214" spans="1:256" ht="12.75" x14ac:dyDescent="0.2">
      <c r="M214" s="162"/>
      <c r="N214" s="162"/>
      <c r="O214" s="162"/>
      <c r="P214" s="162"/>
      <c r="R214" s="913"/>
      <c r="AN214" s="172"/>
      <c r="AO214" s="172"/>
      <c r="AP214" s="172"/>
      <c r="AQ214" s="172"/>
      <c r="AR214" s="172"/>
      <c r="AS214" s="172"/>
      <c r="AT214" s="172"/>
    </row>
    <row r="215" spans="1:256" ht="12.75" x14ac:dyDescent="0.2">
      <c r="M215" s="162"/>
      <c r="N215" s="162"/>
      <c r="O215" s="162"/>
      <c r="P215" s="162"/>
      <c r="R215" s="913"/>
      <c r="AN215" s="172"/>
      <c r="AO215" s="172"/>
      <c r="AP215" s="172"/>
      <c r="AQ215" s="172"/>
      <c r="AR215" s="172"/>
      <c r="AS215" s="172"/>
      <c r="AT215" s="172"/>
    </row>
    <row r="216" spans="1:256" ht="12.75" x14ac:dyDescent="0.2">
      <c r="M216" s="162"/>
      <c r="N216" s="162"/>
      <c r="O216" s="162"/>
      <c r="P216" s="162"/>
      <c r="R216" s="913"/>
      <c r="AN216" s="172"/>
      <c r="AO216" s="172"/>
      <c r="AP216" s="172"/>
      <c r="AQ216" s="172"/>
      <c r="AR216" s="172"/>
      <c r="AS216" s="172"/>
      <c r="AT216" s="172"/>
    </row>
    <row r="217" spans="1:256" ht="12.75" x14ac:dyDescent="0.2">
      <c r="M217" s="162"/>
      <c r="N217" s="162"/>
      <c r="O217" s="162"/>
      <c r="P217" s="162"/>
      <c r="R217" s="913"/>
      <c r="AN217" s="172"/>
      <c r="AO217" s="172"/>
      <c r="AP217" s="172"/>
      <c r="AQ217" s="172"/>
      <c r="AR217" s="172"/>
      <c r="AS217" s="172"/>
      <c r="AT217" s="172"/>
    </row>
    <row r="218" spans="1:256" ht="12.75" x14ac:dyDescent="0.2">
      <c r="M218" s="162"/>
      <c r="N218" s="162"/>
      <c r="O218" s="162"/>
      <c r="P218" s="162"/>
      <c r="R218" s="913"/>
      <c r="AN218" s="172"/>
      <c r="AO218" s="172"/>
      <c r="AP218" s="172"/>
      <c r="AQ218" s="172"/>
      <c r="AR218" s="172"/>
      <c r="AS218" s="172"/>
      <c r="AT218" s="172"/>
    </row>
    <row r="219" spans="1:256" ht="12.75" x14ac:dyDescent="0.2">
      <c r="M219" s="162"/>
      <c r="N219" s="162"/>
      <c r="O219" s="162"/>
      <c r="P219" s="162"/>
      <c r="R219" s="913"/>
      <c r="AN219" s="172"/>
      <c r="AO219" s="172"/>
      <c r="AP219" s="172"/>
      <c r="AQ219" s="172"/>
      <c r="AR219" s="172"/>
      <c r="AS219" s="172"/>
      <c r="AT219" s="172"/>
    </row>
    <row r="220" spans="1:256" ht="12.75" x14ac:dyDescent="0.2">
      <c r="M220" s="162"/>
      <c r="N220" s="162"/>
      <c r="O220" s="162"/>
      <c r="P220" s="162"/>
      <c r="R220" s="913"/>
      <c r="AN220" s="172"/>
      <c r="AO220" s="172"/>
      <c r="AP220" s="172"/>
      <c r="AQ220" s="172"/>
      <c r="AR220" s="172"/>
      <c r="AS220" s="172"/>
      <c r="AT220" s="172"/>
    </row>
    <row r="221" spans="1:256" ht="12.75" x14ac:dyDescent="0.2">
      <c r="R221" s="913"/>
      <c r="AN221" s="172"/>
      <c r="AO221" s="172"/>
      <c r="AP221" s="172"/>
      <c r="AQ221" s="172"/>
      <c r="AR221" s="172"/>
      <c r="AS221" s="172"/>
      <c r="AT221" s="172"/>
    </row>
    <row r="222" spans="1:256" ht="12.75" x14ac:dyDescent="0.2">
      <c r="R222" s="913"/>
      <c r="AN222" s="172"/>
      <c r="AO222" s="172"/>
      <c r="AP222" s="172"/>
      <c r="AQ222" s="172"/>
      <c r="AR222" s="172"/>
      <c r="AS222" s="172"/>
      <c r="AT222" s="172"/>
    </row>
    <row r="223" spans="1:256" ht="12.75" x14ac:dyDescent="0.2">
      <c r="R223" s="913"/>
      <c r="AN223" s="172"/>
      <c r="AO223" s="172"/>
      <c r="AP223" s="172"/>
      <c r="AQ223" s="172"/>
      <c r="AR223" s="172"/>
      <c r="AS223" s="172"/>
      <c r="AT223" s="172"/>
    </row>
    <row r="224" spans="1:256" ht="12.75" x14ac:dyDescent="0.2">
      <c r="R224" s="913"/>
      <c r="AN224" s="172"/>
      <c r="AO224" s="172"/>
      <c r="AP224" s="172"/>
      <c r="AQ224" s="172"/>
      <c r="AR224" s="172"/>
      <c r="AS224" s="172"/>
      <c r="AT224" s="172"/>
    </row>
    <row r="225" spans="18:46" ht="12.75" x14ac:dyDescent="0.2">
      <c r="R225" s="913"/>
      <c r="AN225" s="172"/>
      <c r="AO225" s="172"/>
      <c r="AP225" s="172"/>
      <c r="AQ225" s="172"/>
      <c r="AR225" s="172"/>
      <c r="AS225" s="172"/>
      <c r="AT225" s="172"/>
    </row>
    <row r="226" spans="18:46" ht="12.75" x14ac:dyDescent="0.2">
      <c r="R226" s="913"/>
      <c r="AN226" s="172"/>
      <c r="AO226" s="172"/>
      <c r="AP226" s="172"/>
      <c r="AQ226" s="172"/>
      <c r="AR226" s="172"/>
      <c r="AS226" s="172"/>
      <c r="AT226" s="172"/>
    </row>
    <row r="227" spans="18:46" ht="12.75" x14ac:dyDescent="0.2">
      <c r="R227" s="913"/>
      <c r="AN227" s="172"/>
      <c r="AO227" s="172"/>
      <c r="AP227" s="172"/>
      <c r="AQ227" s="172"/>
      <c r="AR227" s="172"/>
      <c r="AS227" s="172"/>
      <c r="AT227" s="172"/>
    </row>
    <row r="228" spans="18:46" ht="12.75" x14ac:dyDescent="0.2">
      <c r="R228" s="913"/>
      <c r="AN228" s="172"/>
      <c r="AO228" s="172"/>
      <c r="AP228" s="172"/>
      <c r="AQ228" s="172"/>
      <c r="AR228" s="172"/>
      <c r="AS228" s="172"/>
      <c r="AT228" s="172"/>
    </row>
    <row r="229" spans="18:46" ht="12.75" x14ac:dyDescent="0.2">
      <c r="R229" s="913"/>
      <c r="AN229" s="172"/>
      <c r="AO229" s="172"/>
      <c r="AP229" s="172"/>
      <c r="AQ229" s="172"/>
      <c r="AR229" s="172"/>
      <c r="AS229" s="172"/>
      <c r="AT229" s="172"/>
    </row>
    <row r="230" spans="18:46" ht="12.75" x14ac:dyDescent="0.2">
      <c r="R230" s="913"/>
      <c r="AN230" s="172"/>
      <c r="AO230" s="172"/>
      <c r="AP230" s="172"/>
      <c r="AQ230" s="172"/>
      <c r="AR230" s="172"/>
      <c r="AS230" s="172"/>
      <c r="AT230" s="172"/>
    </row>
    <row r="231" spans="18:46" ht="12.75" x14ac:dyDescent="0.2">
      <c r="R231" s="913"/>
      <c r="AN231" s="172"/>
      <c r="AO231" s="172"/>
      <c r="AP231" s="172"/>
      <c r="AQ231" s="172"/>
      <c r="AR231" s="172"/>
      <c r="AS231" s="172"/>
      <c r="AT231" s="172"/>
    </row>
    <row r="232" spans="18:46" x14ac:dyDescent="0.2">
      <c r="R232" s="913"/>
    </row>
    <row r="233" spans="18:46" x14ac:dyDescent="0.2">
      <c r="R233" s="913"/>
    </row>
    <row r="234" spans="18:46" x14ac:dyDescent="0.2">
      <c r="R234" s="913"/>
    </row>
    <row r="235" spans="18:46" x14ac:dyDescent="0.2">
      <c r="R235" s="913"/>
    </row>
    <row r="236" spans="18:46" x14ac:dyDescent="0.2">
      <c r="R236" s="913"/>
    </row>
    <row r="237" spans="18:46" x14ac:dyDescent="0.2">
      <c r="R237" s="913"/>
    </row>
    <row r="238" spans="18:46" x14ac:dyDescent="0.2">
      <c r="R238" s="913"/>
    </row>
    <row r="239" spans="18:46" x14ac:dyDescent="0.2">
      <c r="R239" s="913"/>
    </row>
    <row r="240" spans="18:46" x14ac:dyDescent="0.2">
      <c r="R240" s="913"/>
    </row>
    <row r="241" spans="18:18" x14ac:dyDescent="0.2">
      <c r="R241" s="913"/>
    </row>
    <row r="242" spans="18:18" x14ac:dyDescent="0.2">
      <c r="R242" s="913"/>
    </row>
    <row r="243" spans="18:18" x14ac:dyDescent="0.2">
      <c r="R243" s="913"/>
    </row>
    <row r="244" spans="18:18" x14ac:dyDescent="0.2">
      <c r="R244" s="913"/>
    </row>
    <row r="245" spans="18:18" x14ac:dyDescent="0.2">
      <c r="R245" s="913"/>
    </row>
    <row r="246" spans="18:18" x14ac:dyDescent="0.2">
      <c r="R246" s="913"/>
    </row>
    <row r="247" spans="18:18" x14ac:dyDescent="0.2">
      <c r="R247" s="913"/>
    </row>
    <row r="248" spans="18:18" x14ac:dyDescent="0.2">
      <c r="R248" s="913"/>
    </row>
    <row r="249" spans="18:18" x14ac:dyDescent="0.2">
      <c r="R249" s="913"/>
    </row>
    <row r="250" spans="18:18" x14ac:dyDescent="0.2">
      <c r="R250" s="913"/>
    </row>
    <row r="251" spans="18:18" x14ac:dyDescent="0.2">
      <c r="R251" s="913"/>
    </row>
    <row r="252" spans="18:18" x14ac:dyDescent="0.2">
      <c r="R252" s="913"/>
    </row>
    <row r="253" spans="18:18" x14ac:dyDescent="0.2">
      <c r="R253" s="913"/>
    </row>
    <row r="254" spans="18:18" x14ac:dyDescent="0.2">
      <c r="R254" s="913"/>
    </row>
    <row r="255" spans="18:18" x14ac:dyDescent="0.2">
      <c r="R255" s="913"/>
    </row>
    <row r="256" spans="18:18" x14ac:dyDescent="0.2">
      <c r="R256" s="913"/>
    </row>
    <row r="257" spans="18:18" x14ac:dyDescent="0.2">
      <c r="R257" s="913"/>
    </row>
    <row r="258" spans="18:18" x14ac:dyDescent="0.2">
      <c r="R258" s="913"/>
    </row>
    <row r="259" spans="18:18" x14ac:dyDescent="0.2">
      <c r="R259" s="913"/>
    </row>
    <row r="260" spans="18:18" x14ac:dyDescent="0.2">
      <c r="R260" s="913"/>
    </row>
    <row r="261" spans="18:18" x14ac:dyDescent="0.2">
      <c r="R261" s="913"/>
    </row>
    <row r="262" spans="18:18" x14ac:dyDescent="0.2">
      <c r="R262" s="913"/>
    </row>
    <row r="263" spans="18:18" x14ac:dyDescent="0.2">
      <c r="R263" s="913"/>
    </row>
    <row r="264" spans="18:18" x14ac:dyDescent="0.2">
      <c r="R264" s="913"/>
    </row>
    <row r="265" spans="18:18" x14ac:dyDescent="0.2">
      <c r="R265" s="913"/>
    </row>
    <row r="266" spans="18:18" x14ac:dyDescent="0.2">
      <c r="R266" s="913"/>
    </row>
    <row r="267" spans="18:18" x14ac:dyDescent="0.2">
      <c r="R267" s="913"/>
    </row>
    <row r="268" spans="18:18" x14ac:dyDescent="0.2">
      <c r="R268" s="913"/>
    </row>
    <row r="269" spans="18:18" x14ac:dyDescent="0.2">
      <c r="R269" s="913"/>
    </row>
    <row r="270" spans="18:18" x14ac:dyDescent="0.2">
      <c r="R270" s="913"/>
    </row>
    <row r="271" spans="18:18" x14ac:dyDescent="0.2">
      <c r="R271" s="913"/>
    </row>
    <row r="272" spans="18:18" x14ac:dyDescent="0.2">
      <c r="R272" s="913"/>
    </row>
    <row r="273" spans="18:18" x14ac:dyDescent="0.2">
      <c r="R273" s="913"/>
    </row>
    <row r="274" spans="18:18" x14ac:dyDescent="0.2">
      <c r="R274" s="913"/>
    </row>
    <row r="275" spans="18:18" x14ac:dyDescent="0.2">
      <c r="R275" s="913"/>
    </row>
    <row r="276" spans="18:18" x14ac:dyDescent="0.2">
      <c r="R276" s="913"/>
    </row>
    <row r="277" spans="18:18" x14ac:dyDescent="0.2">
      <c r="R277" s="913"/>
    </row>
    <row r="278" spans="18:18" x14ac:dyDescent="0.2">
      <c r="R278" s="913"/>
    </row>
    <row r="279" spans="18:18" x14ac:dyDescent="0.2">
      <c r="R279" s="913"/>
    </row>
    <row r="280" spans="18:18" x14ac:dyDescent="0.2">
      <c r="R280" s="913"/>
    </row>
    <row r="281" spans="18:18" x14ac:dyDescent="0.2">
      <c r="R281" s="913"/>
    </row>
    <row r="282" spans="18:18" x14ac:dyDescent="0.2">
      <c r="R282" s="913"/>
    </row>
    <row r="283" spans="18:18" x14ac:dyDescent="0.2">
      <c r="R283" s="913"/>
    </row>
    <row r="284" spans="18:18" x14ac:dyDescent="0.2">
      <c r="R284" s="913"/>
    </row>
    <row r="285" spans="18:18" x14ac:dyDescent="0.2">
      <c r="R285" s="913"/>
    </row>
    <row r="286" spans="18:18" x14ac:dyDescent="0.2">
      <c r="R286" s="913"/>
    </row>
    <row r="287" spans="18:18" x14ac:dyDescent="0.2">
      <c r="R287" s="913"/>
    </row>
    <row r="288" spans="18:18" x14ac:dyDescent="0.2">
      <c r="R288" s="913"/>
    </row>
    <row r="289" spans="18:18" x14ac:dyDescent="0.2">
      <c r="R289" s="913"/>
    </row>
    <row r="290" spans="18:18" x14ac:dyDescent="0.2">
      <c r="R290" s="913"/>
    </row>
    <row r="291" spans="18:18" x14ac:dyDescent="0.2">
      <c r="R291" s="913"/>
    </row>
    <row r="292" spans="18:18" x14ac:dyDescent="0.2">
      <c r="R292" s="913"/>
    </row>
    <row r="293" spans="18:18" x14ac:dyDescent="0.2">
      <c r="R293" s="913"/>
    </row>
    <row r="294" spans="18:18" x14ac:dyDescent="0.2">
      <c r="R294" s="913"/>
    </row>
    <row r="295" spans="18:18" x14ac:dyDescent="0.2">
      <c r="R295" s="913"/>
    </row>
    <row r="296" spans="18:18" x14ac:dyDescent="0.2">
      <c r="R296" s="913"/>
    </row>
    <row r="297" spans="18:18" x14ac:dyDescent="0.2">
      <c r="R297" s="913"/>
    </row>
    <row r="298" spans="18:18" x14ac:dyDescent="0.2">
      <c r="R298" s="913"/>
    </row>
    <row r="299" spans="18:18" x14ac:dyDescent="0.2">
      <c r="R299" s="913"/>
    </row>
    <row r="300" spans="18:18" x14ac:dyDescent="0.2">
      <c r="R300" s="913"/>
    </row>
    <row r="301" spans="18:18" x14ac:dyDescent="0.2">
      <c r="R301" s="913"/>
    </row>
    <row r="302" spans="18:18" x14ac:dyDescent="0.2">
      <c r="R302" s="913"/>
    </row>
    <row r="303" spans="18:18" x14ac:dyDescent="0.2">
      <c r="R303" s="913"/>
    </row>
    <row r="304" spans="18:18" x14ac:dyDescent="0.2">
      <c r="R304" s="913"/>
    </row>
    <row r="305" spans="18:18" x14ac:dyDescent="0.2">
      <c r="R305" s="913"/>
    </row>
    <row r="306" spans="18:18" x14ac:dyDescent="0.2">
      <c r="R306" s="913"/>
    </row>
    <row r="307" spans="18:18" x14ac:dyDescent="0.2">
      <c r="R307" s="913"/>
    </row>
    <row r="308" spans="18:18" x14ac:dyDescent="0.2">
      <c r="R308" s="913"/>
    </row>
    <row r="309" spans="18:18" x14ac:dyDescent="0.2">
      <c r="R309" s="913"/>
    </row>
    <row r="310" spans="18:18" x14ac:dyDescent="0.2">
      <c r="R310" s="913"/>
    </row>
    <row r="311" spans="18:18" x14ac:dyDescent="0.2">
      <c r="R311" s="913"/>
    </row>
    <row r="312" spans="18:18" x14ac:dyDescent="0.2">
      <c r="R312" s="913"/>
    </row>
    <row r="313" spans="18:18" x14ac:dyDescent="0.2">
      <c r="R313" s="913"/>
    </row>
    <row r="314" spans="18:18" x14ac:dyDescent="0.2">
      <c r="R314" s="913"/>
    </row>
    <row r="315" spans="18:18" x14ac:dyDescent="0.2">
      <c r="R315" s="913"/>
    </row>
    <row r="316" spans="18:18" x14ac:dyDescent="0.2">
      <c r="R316" s="913"/>
    </row>
    <row r="317" spans="18:18" x14ac:dyDescent="0.2">
      <c r="R317" s="913"/>
    </row>
    <row r="318" spans="18:18" x14ac:dyDescent="0.2">
      <c r="R318" s="913"/>
    </row>
    <row r="319" spans="18:18" x14ac:dyDescent="0.2">
      <c r="R319" s="913"/>
    </row>
    <row r="320" spans="18:18" x14ac:dyDescent="0.2">
      <c r="R320" s="913"/>
    </row>
    <row r="321" spans="18:18" x14ac:dyDescent="0.2">
      <c r="R321" s="913"/>
    </row>
  </sheetData>
  <sheetProtection password="8376" sheet="1" objects="1" scenarios="1"/>
  <mergeCells count="139">
    <mergeCell ref="AX192:AZ192"/>
    <mergeCell ref="BN192:BP192"/>
    <mergeCell ref="CD192:CF192"/>
    <mergeCell ref="CT192:CV192"/>
    <mergeCell ref="DJ192:DL192"/>
    <mergeCell ref="DZ192:EB192"/>
    <mergeCell ref="EP192:ER192"/>
    <mergeCell ref="FF192:FH192"/>
    <mergeCell ref="DZ193:EB193"/>
    <mergeCell ref="EP193:ER193"/>
    <mergeCell ref="FF193:FH193"/>
    <mergeCell ref="AX193:AZ193"/>
    <mergeCell ref="BN193:BP193"/>
    <mergeCell ref="CD193:CF193"/>
    <mergeCell ref="CT193:CV193"/>
    <mergeCell ref="DJ193:DL193"/>
    <mergeCell ref="DZ189:EB189"/>
    <mergeCell ref="EP189:ER189"/>
    <mergeCell ref="FF189:FH189"/>
    <mergeCell ref="AH190:AJ190"/>
    <mergeCell ref="AX190:AZ190"/>
    <mergeCell ref="BN190:BP190"/>
    <mergeCell ref="CD190:CF190"/>
    <mergeCell ref="CT190:CV190"/>
    <mergeCell ref="DJ190:DL190"/>
    <mergeCell ref="DZ190:EB190"/>
    <mergeCell ref="EP190:ER190"/>
    <mergeCell ref="FF190:FH190"/>
    <mergeCell ref="DO180:EB180"/>
    <mergeCell ref="EE180:ER180"/>
    <mergeCell ref="EU180:FH180"/>
    <mergeCell ref="CD188:CF188"/>
    <mergeCell ref="CT188:CV188"/>
    <mergeCell ref="DJ188:DL188"/>
    <mergeCell ref="DZ188:EB188"/>
    <mergeCell ref="EP188:ER188"/>
    <mergeCell ref="FF188:FH188"/>
    <mergeCell ref="DJ94:DL94"/>
    <mergeCell ref="AM180:AZ180"/>
    <mergeCell ref="BC180:BP180"/>
    <mergeCell ref="AH188:AJ188"/>
    <mergeCell ref="AX188:AZ188"/>
    <mergeCell ref="BN188:BP188"/>
    <mergeCell ref="AH189:AJ189"/>
    <mergeCell ref="BS180:CF180"/>
    <mergeCell ref="CI180:CV180"/>
    <mergeCell ref="CY180:DL180"/>
    <mergeCell ref="AX189:AZ189"/>
    <mergeCell ref="BN189:BP189"/>
    <mergeCell ref="CD189:CF189"/>
    <mergeCell ref="CT189:CV189"/>
    <mergeCell ref="DJ189:DL189"/>
    <mergeCell ref="DZ94:EB94"/>
    <mergeCell ref="EP94:ER94"/>
    <mergeCell ref="HB94:HD94"/>
    <mergeCell ref="GL92:GN92"/>
    <mergeCell ref="HB92:HD92"/>
    <mergeCell ref="GL95:GN95"/>
    <mergeCell ref="GL94:GN94"/>
    <mergeCell ref="HB95:HD95"/>
    <mergeCell ref="M96:P96"/>
    <mergeCell ref="AX95:AZ95"/>
    <mergeCell ref="BN95:BP95"/>
    <mergeCell ref="CD95:CF95"/>
    <mergeCell ref="CT95:CV95"/>
    <mergeCell ref="DJ95:DL95"/>
    <mergeCell ref="DZ95:EB95"/>
    <mergeCell ref="AX94:AZ94"/>
    <mergeCell ref="BN94:BP94"/>
    <mergeCell ref="CD94:CF94"/>
    <mergeCell ref="CT94:CV94"/>
    <mergeCell ref="FF94:FH94"/>
    <mergeCell ref="FV94:FX94"/>
    <mergeCell ref="EP95:ER95"/>
    <mergeCell ref="FF95:FH95"/>
    <mergeCell ref="FV95:FX95"/>
    <mergeCell ref="AX92:AZ92"/>
    <mergeCell ref="BN92:BP92"/>
    <mergeCell ref="CD92:CF92"/>
    <mergeCell ref="AX91:AZ91"/>
    <mergeCell ref="BN91:BP91"/>
    <mergeCell ref="CD91:CF91"/>
    <mergeCell ref="CT91:CV91"/>
    <mergeCell ref="FF92:FH92"/>
    <mergeCell ref="FV92:FX92"/>
    <mergeCell ref="EP91:ER91"/>
    <mergeCell ref="FF91:FH91"/>
    <mergeCell ref="FV91:FX91"/>
    <mergeCell ref="CT92:CV92"/>
    <mergeCell ref="DJ92:DL92"/>
    <mergeCell ref="DZ92:EB92"/>
    <mergeCell ref="EP92:ER92"/>
    <mergeCell ref="GL90:GN90"/>
    <mergeCell ref="HB90:HD90"/>
    <mergeCell ref="EU82:FH82"/>
    <mergeCell ref="FK82:FX82"/>
    <mergeCell ref="GA82:GN82"/>
    <mergeCell ref="GQ82:HD82"/>
    <mergeCell ref="DJ91:DL91"/>
    <mergeCell ref="DZ91:EB91"/>
    <mergeCell ref="DZ90:EB90"/>
    <mergeCell ref="EP90:ER90"/>
    <mergeCell ref="FF90:FH90"/>
    <mergeCell ref="FV90:FX90"/>
    <mergeCell ref="HB91:HD91"/>
    <mergeCell ref="GL91:GN91"/>
    <mergeCell ref="BC82:BP82"/>
    <mergeCell ref="BS82:CF82"/>
    <mergeCell ref="CI82:CV82"/>
    <mergeCell ref="CY82:DL82"/>
    <mergeCell ref="DO82:EB82"/>
    <mergeCell ref="EE82:ER82"/>
    <mergeCell ref="AG90:AI90"/>
    <mergeCell ref="AX90:AZ90"/>
    <mergeCell ref="BN90:BP90"/>
    <mergeCell ref="CD90:CF90"/>
    <mergeCell ref="CT90:CV90"/>
    <mergeCell ref="DJ90:DL90"/>
    <mergeCell ref="A1:A1048576"/>
    <mergeCell ref="B1:P1"/>
    <mergeCell ref="Q1:Q1048576"/>
    <mergeCell ref="R1:R1048576"/>
    <mergeCell ref="N10:P10"/>
    <mergeCell ref="V82:AI82"/>
    <mergeCell ref="M91:P91"/>
    <mergeCell ref="AG91:AI91"/>
    <mergeCell ref="M95:P95"/>
    <mergeCell ref="AG95:AI95"/>
    <mergeCell ref="M92:P92"/>
    <mergeCell ref="AG92:AI92"/>
    <mergeCell ref="M93:P93"/>
    <mergeCell ref="M94:P94"/>
    <mergeCell ref="AG94:AI94"/>
    <mergeCell ref="B97:P97"/>
    <mergeCell ref="B98:P116"/>
    <mergeCell ref="B117:P198"/>
    <mergeCell ref="W180:AJ180"/>
    <mergeCell ref="AH192:AJ192"/>
    <mergeCell ref="AH193:AJ193"/>
  </mergeCells>
  <pageMargins left="0.44930555555555557" right="0.27569444444444446" top="0.27986111111111112" bottom="0.218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233"/>
  <sheetViews>
    <sheetView zoomScaleSheetLayoutView="100" workbookViewId="0">
      <selection activeCell="I94" sqref="I94"/>
    </sheetView>
  </sheetViews>
  <sheetFormatPr defaultColWidth="11.5703125" defaultRowHeight="11.25" x14ac:dyDescent="0.2"/>
  <cols>
    <col min="1" max="1" width="16.140625" style="166" customWidth="1"/>
    <col min="2" max="3" width="6" style="166" customWidth="1"/>
    <col min="4" max="4" width="2.85546875" style="166" customWidth="1"/>
    <col min="5" max="5" width="8.42578125" style="166" customWidth="1"/>
    <col min="6" max="6" width="2.85546875" style="166" customWidth="1"/>
    <col min="7" max="7" width="6.7109375" style="166" customWidth="1"/>
    <col min="8" max="8" width="2.85546875" style="166" customWidth="1"/>
    <col min="9" max="9" width="9" style="166" customWidth="1"/>
    <col min="10" max="10" width="3" style="166" customWidth="1"/>
    <col min="11" max="11" width="0" style="367" hidden="1" customWidth="1"/>
    <col min="12" max="12" width="10.85546875" style="368" customWidth="1"/>
    <col min="13" max="14" width="10.85546875" style="369" customWidth="1"/>
    <col min="15" max="16384" width="11.5703125" style="166"/>
  </cols>
  <sheetData>
    <row r="1" spans="1:27" ht="18" x14ac:dyDescent="0.2">
      <c r="A1" s="931" t="str">
        <f>Data!C8</f>
        <v>Belongtoabloke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14"/>
      <c r="P1" s="914"/>
      <c r="Q1" s="914"/>
      <c r="R1" s="914"/>
      <c r="S1" s="914"/>
      <c r="T1" s="914"/>
      <c r="U1" s="914"/>
      <c r="V1" s="914"/>
      <c r="W1" s="914"/>
      <c r="X1" s="914"/>
      <c r="Y1" s="914"/>
      <c r="Z1" s="914"/>
      <c r="AA1" s="914"/>
    </row>
    <row r="2" spans="1:27" ht="12.75" x14ac:dyDescent="0.2">
      <c r="A2" s="932">
        <f ca="1">Data!D6</f>
        <v>45156.591538541667</v>
      </c>
      <c r="B2" s="932"/>
      <c r="C2" s="932"/>
      <c r="D2" s="932"/>
      <c r="E2" s="932"/>
      <c r="F2" s="932"/>
      <c r="G2" s="932"/>
      <c r="H2" s="932"/>
      <c r="I2" s="932"/>
      <c r="J2" s="932"/>
      <c r="K2" s="932"/>
      <c r="L2" s="932"/>
      <c r="M2" s="932"/>
      <c r="N2" s="932"/>
      <c r="O2" s="914"/>
      <c r="P2" s="914"/>
      <c r="Q2" s="914"/>
      <c r="R2" s="914"/>
      <c r="S2" s="914"/>
      <c r="T2" s="914"/>
      <c r="U2" s="914"/>
      <c r="V2" s="914"/>
      <c r="W2" s="914"/>
      <c r="X2" s="914"/>
      <c r="Y2" s="914"/>
      <c r="Z2" s="914"/>
      <c r="AA2" s="914"/>
    </row>
    <row r="3" spans="1:27" x14ac:dyDescent="0.2">
      <c r="A3" s="933" t="s">
        <v>373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14"/>
      <c r="P3" s="914"/>
      <c r="Q3" s="914"/>
      <c r="R3" s="914"/>
      <c r="S3" s="914"/>
      <c r="T3" s="914"/>
      <c r="U3" s="914"/>
      <c r="V3" s="914"/>
      <c r="W3" s="914"/>
      <c r="X3" s="914"/>
      <c r="Y3" s="914"/>
      <c r="Z3" s="914"/>
      <c r="AA3" s="914"/>
    </row>
    <row r="4" spans="1:27" x14ac:dyDescent="0.2">
      <c r="A4" s="933"/>
      <c r="B4" s="933"/>
      <c r="C4" s="933"/>
      <c r="D4" s="93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</row>
    <row r="5" spans="1:27" x14ac:dyDescent="0.2">
      <c r="A5" s="370"/>
      <c r="B5" s="371"/>
      <c r="C5" s="371"/>
      <c r="D5" s="371"/>
      <c r="E5" s="372" t="s">
        <v>59</v>
      </c>
      <c r="F5" s="373"/>
      <c r="G5" s="372" t="s">
        <v>374</v>
      </c>
      <c r="H5" s="374"/>
      <c r="I5" s="375"/>
      <c r="J5" s="375"/>
      <c r="K5" s="376"/>
      <c r="L5" s="377"/>
      <c r="M5" s="377"/>
      <c r="N5" s="378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</row>
    <row r="6" spans="1:27" ht="12.75" x14ac:dyDescent="0.2">
      <c r="A6" s="379" t="s">
        <v>375</v>
      </c>
      <c r="B6" s="380"/>
      <c r="C6" s="380"/>
      <c r="D6" s="381"/>
      <c r="E6" s="382" t="s">
        <v>376</v>
      </c>
      <c r="F6" s="382"/>
      <c r="G6" s="382" t="s">
        <v>376</v>
      </c>
      <c r="H6" s="383"/>
      <c r="I6" s="191"/>
      <c r="J6" s="191"/>
      <c r="K6" s="192"/>
      <c r="L6" s="384"/>
      <c r="M6" s="385"/>
      <c r="N6" s="386"/>
      <c r="O6" s="914"/>
      <c r="P6" s="914"/>
      <c r="Q6" s="914"/>
      <c r="R6" s="914"/>
      <c r="S6" s="914"/>
      <c r="T6" s="914"/>
      <c r="U6" s="914"/>
      <c r="V6" s="914"/>
      <c r="W6" s="914"/>
      <c r="X6" s="914"/>
      <c r="Y6" s="914"/>
      <c r="Z6" s="914"/>
      <c r="AA6" s="914"/>
    </row>
    <row r="7" spans="1:27" ht="12.75" x14ac:dyDescent="0.2">
      <c r="A7" s="387" t="s">
        <v>377</v>
      </c>
      <c r="D7" s="388"/>
      <c r="E7" s="389">
        <f>Results!F5</f>
        <v>0</v>
      </c>
      <c r="F7" s="382" t="s">
        <v>378</v>
      </c>
      <c r="G7" s="389">
        <f>IF(Data!E47=0,0,(E7*(1-Data!E50)))</f>
        <v>0</v>
      </c>
      <c r="H7" s="383" t="s">
        <v>378</v>
      </c>
      <c r="I7" s="191">
        <f>SUM(G7*C24)/1000</f>
        <v>0</v>
      </c>
      <c r="J7" s="390">
        <f>SUM(I7*Data!I47)*1000</f>
        <v>0</v>
      </c>
      <c r="K7" s="192"/>
      <c r="L7" s="168" t="s">
        <v>377</v>
      </c>
      <c r="M7"/>
      <c r="N7" s="386"/>
      <c r="O7" s="914"/>
      <c r="P7" s="914"/>
      <c r="Q7" s="914"/>
      <c r="R7" s="914"/>
      <c r="S7" s="914"/>
      <c r="T7" s="914"/>
      <c r="U7" s="914"/>
      <c r="V7" s="914"/>
      <c r="W7" s="914"/>
      <c r="X7" s="914"/>
      <c r="Y7" s="914"/>
      <c r="Z7" s="914"/>
      <c r="AA7" s="914"/>
    </row>
    <row r="8" spans="1:27" ht="12.75" x14ac:dyDescent="0.2">
      <c r="A8" s="387" t="s">
        <v>379</v>
      </c>
      <c r="D8" s="388"/>
      <c r="E8" s="389">
        <f>Results!F6</f>
        <v>0</v>
      </c>
      <c r="F8" s="382" t="s">
        <v>378</v>
      </c>
      <c r="G8" s="389">
        <f>IF(Data!E48=0,0,(E8*(1-Data!E50)))</f>
        <v>0</v>
      </c>
      <c r="H8" s="383" t="s">
        <v>378</v>
      </c>
      <c r="I8" s="191">
        <f>SUM(G8*C32/1000)</f>
        <v>0</v>
      </c>
      <c r="J8" s="390">
        <f>SUM(I8*Data!H50)*1000</f>
        <v>0</v>
      </c>
      <c r="K8" s="192"/>
      <c r="L8" s="168" t="s">
        <v>379</v>
      </c>
      <c r="M8" s="391"/>
      <c r="N8" s="386"/>
      <c r="O8" s="914"/>
      <c r="P8" s="914"/>
      <c r="Q8" s="914"/>
      <c r="R8" s="914"/>
      <c r="S8" s="914"/>
      <c r="T8" s="914"/>
      <c r="U8" s="914"/>
      <c r="V8" s="914"/>
      <c r="W8" s="914"/>
      <c r="X8" s="914"/>
      <c r="Y8" s="914"/>
      <c r="Z8" s="914"/>
      <c r="AA8" s="914"/>
    </row>
    <row r="9" spans="1:27" ht="12.75" x14ac:dyDescent="0.2">
      <c r="A9" s="387" t="s">
        <v>380</v>
      </c>
      <c r="D9" s="388"/>
      <c r="E9" s="389">
        <f>Results!F7</f>
        <v>0</v>
      </c>
      <c r="F9" s="382" t="s">
        <v>378</v>
      </c>
      <c r="G9" s="389">
        <f>IF(Data!E49=0,0,(E9*(1-Data!E50)))</f>
        <v>0</v>
      </c>
      <c r="H9" s="383" t="s">
        <v>378</v>
      </c>
      <c r="I9" s="392">
        <f>SUM(G9*C34/1000)</f>
        <v>0</v>
      </c>
      <c r="J9" s="390">
        <f>SUM(I9*Data!I49)*1000</f>
        <v>0</v>
      </c>
      <c r="K9" s="192"/>
      <c r="L9" s="168" t="s">
        <v>380</v>
      </c>
      <c r="M9" s="391"/>
      <c r="N9" s="386"/>
      <c r="O9" s="914"/>
      <c r="P9" s="914"/>
      <c r="Q9" s="914"/>
      <c r="R9" s="914"/>
      <c r="S9" s="914"/>
      <c r="T9" s="914"/>
      <c r="U9" s="914"/>
      <c r="V9" s="914"/>
      <c r="W9" s="914"/>
      <c r="X9" s="914"/>
      <c r="Y9" s="914"/>
      <c r="Z9" s="914"/>
      <c r="AA9" s="914"/>
    </row>
    <row r="10" spans="1:27" ht="12.75" x14ac:dyDescent="0.2">
      <c r="A10" s="387" t="s">
        <v>446</v>
      </c>
      <c r="D10" s="388"/>
      <c r="E10" s="389">
        <f>SUM(E11/C35)*1000</f>
        <v>0</v>
      </c>
      <c r="F10" s="382" t="s">
        <v>378</v>
      </c>
      <c r="G10" s="389">
        <f>SUM(G11/C35)*1000</f>
        <v>0</v>
      </c>
      <c r="H10" s="383" t="s">
        <v>378</v>
      </c>
      <c r="I10" s="392"/>
      <c r="J10" s="390"/>
      <c r="K10" s="192"/>
      <c r="L10" s="168"/>
      <c r="M10" s="391"/>
      <c r="N10" s="386"/>
      <c r="O10" s="914"/>
      <c r="P10" s="914"/>
      <c r="Q10" s="914"/>
      <c r="R10" s="914"/>
      <c r="S10" s="914"/>
      <c r="T10" s="914"/>
      <c r="U10" s="914"/>
      <c r="V10" s="914"/>
      <c r="W10" s="914"/>
      <c r="X10" s="914"/>
      <c r="Y10" s="914"/>
      <c r="Z10" s="914"/>
      <c r="AA10" s="914"/>
    </row>
    <row r="11" spans="1:27" ht="12.75" x14ac:dyDescent="0.2">
      <c r="A11" s="370" t="s">
        <v>383</v>
      </c>
      <c r="B11" s="371"/>
      <c r="C11" s="371"/>
      <c r="D11" s="393"/>
      <c r="E11" s="394">
        <f>SUM((E7*(Data!E12+Data!E10))+(E8*(Data!E17+Data!E15))+(E9*Data!E20))/1000</f>
        <v>0</v>
      </c>
      <c r="F11" s="372" t="s">
        <v>384</v>
      </c>
      <c r="G11" s="394">
        <f>SUM((G7*(Data!E12+Data!E10))+G8*(Data!E17+Data!E15)+(G9*Data!E20))/1000</f>
        <v>0</v>
      </c>
      <c r="H11" s="372" t="s">
        <v>384</v>
      </c>
      <c r="I11" s="191"/>
      <c r="J11" s="395">
        <f>SUM(J7:J9)</f>
        <v>0</v>
      </c>
      <c r="K11" s="192"/>
      <c r="L11" s="384"/>
      <c r="M11" s="391"/>
      <c r="N11" s="386"/>
      <c r="O11" s="914"/>
      <c r="P11" s="914"/>
      <c r="Q11" s="914"/>
      <c r="R11" s="914"/>
      <c r="S11" s="914"/>
      <c r="T11" s="914"/>
      <c r="U11" s="914"/>
      <c r="V11" s="914"/>
      <c r="W11" s="914"/>
      <c r="X11" s="914"/>
      <c r="Y11" s="914"/>
      <c r="Z11" s="914"/>
      <c r="AA11" s="914"/>
    </row>
    <row r="12" spans="1:27" ht="12.75" x14ac:dyDescent="0.2">
      <c r="A12" s="396"/>
      <c r="B12" s="397"/>
      <c r="C12" s="397"/>
      <c r="D12" s="397"/>
      <c r="E12" s="398"/>
      <c r="F12" s="399"/>
      <c r="G12" s="3"/>
      <c r="H12" s="1"/>
      <c r="I12" s="3"/>
      <c r="J12" s="400"/>
      <c r="K12" s="401"/>
      <c r="L12" s="402"/>
      <c r="M12" s="402"/>
      <c r="N12" s="403"/>
      <c r="O12" s="914"/>
      <c r="P12" s="914"/>
      <c r="Q12" s="914"/>
      <c r="R12" s="914"/>
      <c r="S12" s="914"/>
      <c r="T12" s="914"/>
      <c r="U12" s="914"/>
      <c r="V12" s="914"/>
      <c r="W12" s="914"/>
      <c r="X12" s="914"/>
      <c r="Y12" s="914"/>
      <c r="Z12" s="914"/>
      <c r="AA12" s="914"/>
    </row>
    <row r="13" spans="1:27" ht="12.75" x14ac:dyDescent="0.2">
      <c r="A13" s="404"/>
      <c r="B13" s="405"/>
      <c r="C13" s="405"/>
      <c r="D13" s="405"/>
      <c r="E13" s="405"/>
      <c r="F13" s="405"/>
      <c r="G13" s="405"/>
      <c r="H13" s="405"/>
      <c r="I13" s="405"/>
      <c r="J13" s="406"/>
      <c r="K13" s="376"/>
      <c r="L13" s="934" t="s">
        <v>386</v>
      </c>
      <c r="M13" s="934"/>
      <c r="N13" s="934"/>
      <c r="O13" s="914"/>
      <c r="P13" s="914"/>
      <c r="Q13" s="914"/>
      <c r="R13" s="914"/>
      <c r="S13" s="914"/>
      <c r="T13" s="914"/>
      <c r="U13" s="914"/>
      <c r="V13" s="914"/>
      <c r="W13" s="914"/>
      <c r="X13" s="914"/>
      <c r="Y13" s="914"/>
      <c r="Z13" s="914"/>
      <c r="AA13" s="914"/>
    </row>
    <row r="14" spans="1:27" ht="12.75" x14ac:dyDescent="0.2">
      <c r="A14" s="407"/>
      <c r="B14" s="135"/>
      <c r="C14" s="135"/>
      <c r="D14" s="135"/>
      <c r="E14" s="135"/>
      <c r="F14" s="135"/>
      <c r="G14" s="135"/>
      <c r="H14" s="135"/>
      <c r="I14" s="135"/>
      <c r="J14" s="408"/>
      <c r="L14" s="409" t="s">
        <v>24</v>
      </c>
      <c r="M14" s="409" t="s">
        <v>51</v>
      </c>
      <c r="N14" s="409" t="s">
        <v>387</v>
      </c>
      <c r="O14" s="914"/>
      <c r="P14" s="914"/>
      <c r="Q14" s="914"/>
      <c r="R14" s="914"/>
      <c r="S14" s="914"/>
      <c r="T14" s="914"/>
      <c r="U14" s="914"/>
      <c r="V14" s="914"/>
      <c r="W14" s="914"/>
      <c r="X14" s="914"/>
      <c r="Y14" s="914"/>
      <c r="Z14" s="914"/>
      <c r="AA14" s="914"/>
    </row>
    <row r="15" spans="1:27" ht="12.75" x14ac:dyDescent="0.2">
      <c r="A15" s="410" t="s">
        <v>388</v>
      </c>
      <c r="B15" s="411"/>
      <c r="C15" s="412" t="s">
        <v>376</v>
      </c>
      <c r="D15" s="411"/>
      <c r="E15" s="412" t="s">
        <v>389</v>
      </c>
      <c r="F15" s="411"/>
      <c r="G15" s="413" t="str">
        <f>Results!H12</f>
        <v>Kl / Hr</v>
      </c>
      <c r="H15" s="411"/>
      <c r="I15" s="413" t="s">
        <v>45</v>
      </c>
      <c r="J15" s="414"/>
      <c r="K15" s="415" t="s">
        <v>61</v>
      </c>
      <c r="L15" s="416" t="s">
        <v>391</v>
      </c>
      <c r="M15" s="416" t="s">
        <v>391</v>
      </c>
      <c r="N15" s="416" t="s">
        <v>391</v>
      </c>
      <c r="O15" s="914"/>
      <c r="P15" s="914"/>
      <c r="Q15" s="914"/>
      <c r="R15" s="914"/>
      <c r="S15" s="914"/>
      <c r="T15" s="914"/>
      <c r="U15" s="914"/>
      <c r="V15" s="914"/>
      <c r="W15" s="914"/>
      <c r="X15" s="914"/>
      <c r="Y15" s="914"/>
      <c r="Z15" s="914"/>
      <c r="AA15" s="914"/>
    </row>
    <row r="16" spans="1:27" ht="12.75" x14ac:dyDescent="0.2">
      <c r="A16" s="417" t="str">
        <f>Results!B13</f>
        <v>Flood Electric Running Costs</v>
      </c>
      <c r="B16" s="135"/>
      <c r="C16" s="135">
        <f>Data!E10</f>
        <v>40</v>
      </c>
      <c r="D16" s="135"/>
      <c r="E16" s="418">
        <f>IF(C16=0,0,Data!E37)</f>
        <v>9</v>
      </c>
      <c r="F16" s="135"/>
      <c r="G16" s="418">
        <f>Results!H13</f>
        <v>450</v>
      </c>
      <c r="H16" s="135"/>
      <c r="I16" s="419">
        <f>Results!J13</f>
        <v>48.413275685037192</v>
      </c>
      <c r="J16" s="420"/>
      <c r="K16" s="367">
        <f>SUM(I16*E16)</f>
        <v>435.71948116533474</v>
      </c>
      <c r="L16" s="421">
        <f>IF(G7=0,0,(K16/G7)*100)</f>
        <v>0</v>
      </c>
      <c r="M16" s="421"/>
      <c r="N16" s="421"/>
      <c r="O16" s="914"/>
      <c r="P16" s="914"/>
      <c r="Q16" s="914"/>
      <c r="R16" s="914"/>
      <c r="S16" s="914"/>
      <c r="T16" s="914"/>
      <c r="U16" s="914"/>
      <c r="V16" s="914"/>
      <c r="W16" s="914"/>
      <c r="X16" s="914"/>
      <c r="Y16" s="914"/>
      <c r="Z16" s="914"/>
      <c r="AA16" s="914"/>
    </row>
    <row r="17" spans="1:27" ht="12.75" x14ac:dyDescent="0.2">
      <c r="A17" s="417" t="str">
        <f>Results!B14</f>
        <v>Flood Bore Costs Electric</v>
      </c>
      <c r="B17" s="135"/>
      <c r="C17" s="135"/>
      <c r="D17" s="135"/>
      <c r="E17" s="418"/>
      <c r="F17" s="135"/>
      <c r="G17" s="418"/>
      <c r="H17" s="135"/>
      <c r="I17" s="419"/>
      <c r="J17" s="420"/>
      <c r="K17" s="367">
        <f>Results!M14</f>
        <v>262.73154808362273</v>
      </c>
      <c r="L17" s="421">
        <f>IF(G7=0,0,(K17/G7)*100)</f>
        <v>0</v>
      </c>
      <c r="M17" s="421"/>
      <c r="N17" s="421"/>
      <c r="O17" s="914"/>
      <c r="P17" s="914"/>
      <c r="Q17" s="914"/>
      <c r="R17" s="914"/>
      <c r="S17" s="914"/>
      <c r="T17" s="914"/>
      <c r="U17" s="914"/>
      <c r="V17" s="914"/>
      <c r="W17" s="914"/>
      <c r="X17" s="914"/>
      <c r="Y17" s="914"/>
      <c r="Z17" s="914"/>
      <c r="AA17" s="914"/>
    </row>
    <row r="18" spans="1:27" ht="12.75" x14ac:dyDescent="0.2">
      <c r="A18" s="417" t="s">
        <v>447</v>
      </c>
      <c r="B18" s="135"/>
      <c r="C18" s="135"/>
      <c r="D18" s="135"/>
      <c r="E18" s="418"/>
      <c r="F18" s="135"/>
      <c r="G18" s="418"/>
      <c r="H18" s="135"/>
      <c r="I18" s="419"/>
      <c r="J18" s="420"/>
      <c r="L18" s="421">
        <f>Results!N19+Results!N21</f>
        <v>0</v>
      </c>
      <c r="M18" s="421"/>
      <c r="N18" s="421"/>
      <c r="O18" s="914"/>
      <c r="P18" s="914"/>
      <c r="Q18" s="914"/>
      <c r="R18" s="914"/>
      <c r="S18" s="914"/>
      <c r="T18" s="914"/>
      <c r="U18" s="914"/>
      <c r="V18" s="914"/>
      <c r="W18" s="914"/>
      <c r="X18" s="914"/>
      <c r="Y18" s="914"/>
      <c r="Z18" s="914"/>
      <c r="AA18" s="914"/>
    </row>
    <row r="19" spans="1:27" ht="12.75" x14ac:dyDescent="0.2">
      <c r="A19" s="417" t="str">
        <f>Results!B15</f>
        <v>Flood Diesel Running Costs</v>
      </c>
      <c r="B19" s="135"/>
      <c r="C19" s="135">
        <f>Data!E12</f>
        <v>40</v>
      </c>
      <c r="D19" s="135"/>
      <c r="E19" s="418">
        <f>IF(C19=0,0,Data!E37)</f>
        <v>9</v>
      </c>
      <c r="F19" s="135"/>
      <c r="G19" s="418">
        <f>Results!H13</f>
        <v>450</v>
      </c>
      <c r="H19" s="135"/>
      <c r="I19" s="419">
        <f>Results!J15</f>
        <v>39.773236100195305</v>
      </c>
      <c r="J19" s="420"/>
      <c r="K19" s="367">
        <f>SUM(I19*E19)</f>
        <v>357.95912490175772</v>
      </c>
      <c r="L19" s="421">
        <f>IF(G7=0,0,(K19/G7)*100)</f>
        <v>0</v>
      </c>
      <c r="M19" s="421"/>
      <c r="N19" s="421"/>
      <c r="O19" s="914"/>
      <c r="P19" s="914"/>
      <c r="Q19" s="914"/>
      <c r="R19" s="914"/>
      <c r="S19" s="914"/>
      <c r="T19" s="914"/>
      <c r="U19" s="914"/>
      <c r="V19" s="914"/>
      <c r="W19" s="914"/>
      <c r="X19" s="914"/>
      <c r="Y19" s="914"/>
      <c r="Z19" s="914"/>
      <c r="AA19" s="914"/>
    </row>
    <row r="20" spans="1:27" ht="12.75" x14ac:dyDescent="0.2">
      <c r="A20" s="417" t="str">
        <f>Results!B16</f>
        <v>Flood Bore Costs Diesel</v>
      </c>
      <c r="B20" s="135"/>
      <c r="C20" s="135"/>
      <c r="D20" s="135"/>
      <c r="E20" s="418"/>
      <c r="F20" s="135"/>
      <c r="G20" s="418"/>
      <c r="H20" s="135"/>
      <c r="I20" s="419"/>
      <c r="J20" s="420"/>
      <c r="K20" s="367">
        <f>Results!M16</f>
        <v>262.73154808362273</v>
      </c>
      <c r="L20" s="421">
        <f>IF(G7=0,0,(K20/G7)*100)</f>
        <v>0</v>
      </c>
      <c r="M20" s="421"/>
      <c r="N20" s="421"/>
      <c r="O20" s="914"/>
      <c r="P20" s="914"/>
      <c r="Q20" s="914"/>
      <c r="R20" s="914"/>
      <c r="S20" s="914"/>
      <c r="T20" s="914"/>
      <c r="U20" s="914"/>
      <c r="V20" s="914"/>
      <c r="W20" s="914"/>
      <c r="X20" s="914"/>
      <c r="Y20" s="914"/>
      <c r="Z20" s="914"/>
      <c r="AA20" s="914"/>
    </row>
    <row r="21" spans="1:27" ht="12.75" x14ac:dyDescent="0.2">
      <c r="A21" s="417" t="s">
        <v>447</v>
      </c>
      <c r="B21" s="135"/>
      <c r="C21" s="135"/>
      <c r="D21" s="135"/>
      <c r="E21" s="418"/>
      <c r="F21" s="135"/>
      <c r="G21" s="418"/>
      <c r="H21" s="135"/>
      <c r="I21" s="419"/>
      <c r="J21" s="420"/>
      <c r="L21" s="421">
        <f>Results!N20+Results!N22</f>
        <v>0</v>
      </c>
      <c r="M21" s="421"/>
      <c r="N21" s="421"/>
      <c r="O21" s="914"/>
      <c r="P21" s="914"/>
      <c r="Q21" s="914"/>
      <c r="R21" s="914"/>
      <c r="S21" s="914"/>
      <c r="T21" s="914"/>
      <c r="U21" s="914"/>
      <c r="V21" s="914"/>
      <c r="W21" s="914"/>
      <c r="X21" s="914"/>
      <c r="Y21" s="914"/>
      <c r="Z21" s="914"/>
      <c r="AA21" s="914"/>
    </row>
    <row r="22" spans="1:27" ht="12.75" x14ac:dyDescent="0.2">
      <c r="A22" s="417" t="str">
        <f>Results!B17</f>
        <v>Set up Costs Flood</v>
      </c>
      <c r="B22" s="135"/>
      <c r="C22" s="135"/>
      <c r="D22" s="135"/>
      <c r="E22" s="418"/>
      <c r="F22" s="135"/>
      <c r="G22" s="418"/>
      <c r="H22" s="135"/>
      <c r="I22" s="418"/>
      <c r="J22" s="420"/>
      <c r="K22" s="367">
        <f>IF(Data!E14=0,0,Data!E70/20)</f>
        <v>0</v>
      </c>
      <c r="L22" s="421">
        <f>IF(G7=0,0,(Results!N17/G7)*100)</f>
        <v>0</v>
      </c>
      <c r="M22" s="421"/>
      <c r="N22" s="421"/>
      <c r="O22" s="914"/>
      <c r="P22" s="914"/>
      <c r="Q22" s="914"/>
      <c r="R22" s="914"/>
      <c r="S22" s="914"/>
      <c r="T22" s="914"/>
      <c r="U22" s="914"/>
      <c r="V22" s="914"/>
      <c r="W22" s="914"/>
      <c r="X22" s="914"/>
      <c r="Y22" s="914"/>
      <c r="Z22" s="914"/>
      <c r="AA22" s="914"/>
    </row>
    <row r="23" spans="1:27" ht="12.75" x14ac:dyDescent="0.2">
      <c r="A23" s="417" t="str">
        <f>Results!B18</f>
        <v>Maintenance Costs Flood</v>
      </c>
      <c r="B23" s="135"/>
      <c r="C23" s="135"/>
      <c r="D23" s="135"/>
      <c r="E23" s="418"/>
      <c r="F23" s="135"/>
      <c r="G23" s="418"/>
      <c r="H23" s="135"/>
      <c r="I23" s="418"/>
      <c r="J23" s="420"/>
      <c r="K23" s="367">
        <f>Results!M18</f>
        <v>409.74211320610885</v>
      </c>
      <c r="L23" s="421">
        <f>Results!N18</f>
        <v>0</v>
      </c>
      <c r="M23" s="421"/>
      <c r="N23" s="421"/>
      <c r="O23" s="914"/>
      <c r="P23" s="914"/>
      <c r="Q23" s="914"/>
      <c r="R23" s="914"/>
      <c r="S23" s="914"/>
      <c r="T23" s="914"/>
      <c r="U23" s="914"/>
      <c r="V23" s="914"/>
      <c r="W23" s="914"/>
      <c r="X23" s="914"/>
      <c r="Y23" s="914"/>
      <c r="Z23" s="914"/>
      <c r="AA23" s="914"/>
    </row>
    <row r="24" spans="1:27" ht="12.75" x14ac:dyDescent="0.2">
      <c r="A24" s="422" t="s">
        <v>398</v>
      </c>
      <c r="B24" s="423"/>
      <c r="C24" s="423">
        <f>SUM(C16:C19)</f>
        <v>80</v>
      </c>
      <c r="D24" s="424"/>
      <c r="E24" s="425"/>
      <c r="F24" s="424"/>
      <c r="G24" s="425"/>
      <c r="H24" s="424"/>
      <c r="I24" s="425"/>
      <c r="J24" s="426"/>
      <c r="K24" s="427"/>
      <c r="L24" s="428"/>
      <c r="M24" s="428"/>
      <c r="N24" s="428"/>
      <c r="O24" s="914"/>
      <c r="P24" s="914"/>
      <c r="Q24" s="914"/>
      <c r="R24" s="914"/>
      <c r="S24" s="914"/>
      <c r="T24" s="914"/>
      <c r="U24" s="914"/>
      <c r="V24" s="914"/>
      <c r="W24" s="914"/>
      <c r="X24" s="914"/>
      <c r="Y24" s="914"/>
      <c r="Z24" s="914"/>
      <c r="AA24" s="914"/>
    </row>
    <row r="25" spans="1:27" ht="12.75" x14ac:dyDescent="0.2">
      <c r="A25" s="417" t="str">
        <f>Results!B24</f>
        <v>Pivot Electric Running Costs</v>
      </c>
      <c r="B25" s="135"/>
      <c r="C25" s="135">
        <f>Data!E15</f>
        <v>40</v>
      </c>
      <c r="D25" s="135"/>
      <c r="E25" s="418">
        <f>IF(C25=0,0,Data!E42)</f>
        <v>4.5</v>
      </c>
      <c r="F25" s="135"/>
      <c r="G25" s="418">
        <f>Results!H24</f>
        <v>180</v>
      </c>
      <c r="H25" s="135"/>
      <c r="I25" s="419">
        <f>Results!J24</f>
        <v>91.069831422822091</v>
      </c>
      <c r="J25" s="420"/>
      <c r="K25" s="367">
        <f>Results!M24</f>
        <v>409.81424140269939</v>
      </c>
      <c r="L25" s="421"/>
      <c r="M25" s="421">
        <f>IF(G8=0,0,(K25/G8)*100)</f>
        <v>0</v>
      </c>
      <c r="N25" s="421"/>
      <c r="O25" s="914"/>
      <c r="P25" s="914"/>
      <c r="Q25" s="914"/>
      <c r="R25" s="914"/>
      <c r="S25" s="914"/>
      <c r="T25" s="914"/>
      <c r="U25" s="914"/>
      <c r="V25" s="914"/>
      <c r="W25" s="914"/>
      <c r="X25" s="914"/>
      <c r="Y25" s="914"/>
      <c r="Z25" s="914"/>
      <c r="AA25" s="914"/>
    </row>
    <row r="26" spans="1:27" ht="12.75" x14ac:dyDescent="0.2">
      <c r="A26" s="417" t="str">
        <f>Results!B25</f>
        <v>Pivot Bore Costs Electric</v>
      </c>
      <c r="B26" s="135"/>
      <c r="C26" s="135"/>
      <c r="D26" s="135"/>
      <c r="E26" s="418"/>
      <c r="F26" s="135"/>
      <c r="G26" s="418"/>
      <c r="H26" s="135"/>
      <c r="I26" s="419"/>
      <c r="J26" s="420"/>
      <c r="K26" s="367">
        <f>Results!M25</f>
        <v>262.73154808362273</v>
      </c>
      <c r="L26" s="421"/>
      <c r="M26" s="421">
        <f>Results!O25</f>
        <v>0</v>
      </c>
      <c r="N26" s="421"/>
      <c r="O26" s="914"/>
      <c r="P26" s="914"/>
      <c r="Q26" s="914"/>
      <c r="R26" s="914"/>
      <c r="S26" s="914"/>
      <c r="T26" s="914"/>
      <c r="U26" s="914"/>
      <c r="V26" s="914"/>
      <c r="W26" s="914"/>
      <c r="X26" s="914"/>
      <c r="Y26" s="914"/>
      <c r="Z26" s="914"/>
      <c r="AA26" s="914"/>
    </row>
    <row r="27" spans="1:27" ht="12.75" x14ac:dyDescent="0.2">
      <c r="A27" s="417" t="s">
        <v>447</v>
      </c>
      <c r="B27" s="135"/>
      <c r="C27" s="135"/>
      <c r="D27" s="135"/>
      <c r="E27" s="418"/>
      <c r="F27" s="135"/>
      <c r="G27" s="418"/>
      <c r="H27" s="135"/>
      <c r="I27" s="419"/>
      <c r="J27" s="420"/>
      <c r="L27" s="421"/>
      <c r="M27" s="421">
        <f>Results!O29+Results!O31</f>
        <v>0</v>
      </c>
      <c r="N27" s="421"/>
      <c r="O27" s="914"/>
      <c r="P27" s="914"/>
      <c r="Q27" s="914"/>
      <c r="R27" s="914"/>
      <c r="S27" s="914"/>
      <c r="T27" s="914"/>
      <c r="U27" s="914"/>
      <c r="V27" s="914"/>
      <c r="W27" s="914"/>
      <c r="X27" s="914"/>
      <c r="Y27" s="914"/>
      <c r="Z27" s="914"/>
      <c r="AA27" s="914"/>
    </row>
    <row r="28" spans="1:27" ht="12.75" x14ac:dyDescent="0.2">
      <c r="A28" s="417" t="str">
        <f>Results!B26</f>
        <v>Pivot Diesel Running Costs</v>
      </c>
      <c r="B28" s="135"/>
      <c r="C28" s="135">
        <f>Data!E17</f>
        <v>40</v>
      </c>
      <c r="D28" s="135"/>
      <c r="E28" s="418">
        <f>IF(C28=0,0,Data!E42)</f>
        <v>4.5</v>
      </c>
      <c r="F28" s="135"/>
      <c r="G28" s="418">
        <f>Results!H26</f>
        <v>180</v>
      </c>
      <c r="H28" s="135"/>
      <c r="I28" s="419">
        <f>Results!J26</f>
        <v>208.56143250213083</v>
      </c>
      <c r="J28" s="420"/>
      <c r="K28" s="367">
        <f>Results!M26</f>
        <v>938.52644625958874</v>
      </c>
      <c r="L28" s="421"/>
      <c r="M28" s="421">
        <f>IF(G8=0,0,(K28/G8)*100)</f>
        <v>0</v>
      </c>
      <c r="N28" s="421"/>
      <c r="O28" s="914"/>
      <c r="P28" s="914"/>
      <c r="Q28" s="914"/>
      <c r="R28" s="914"/>
      <c r="S28" s="914"/>
      <c r="T28" s="914"/>
      <c r="U28" s="914"/>
      <c r="V28" s="914"/>
      <c r="W28" s="914"/>
      <c r="X28" s="914"/>
      <c r="Y28" s="914"/>
      <c r="Z28" s="914"/>
      <c r="AA28" s="914"/>
    </row>
    <row r="29" spans="1:27" ht="12.75" x14ac:dyDescent="0.2">
      <c r="A29" s="417" t="str">
        <f>Results!B27</f>
        <v>Pivot Bore Costs Diesel</v>
      </c>
      <c r="B29" s="135"/>
      <c r="C29" s="135"/>
      <c r="D29" s="135"/>
      <c r="E29" s="418"/>
      <c r="F29" s="135"/>
      <c r="G29" s="418"/>
      <c r="H29" s="135"/>
      <c r="I29" s="419"/>
      <c r="J29" s="420"/>
      <c r="K29" s="367">
        <f>Results!M27</f>
        <v>262.73154808362273</v>
      </c>
      <c r="L29" s="421"/>
      <c r="M29" s="421">
        <f>IF(G8=0,0,(K29/G8)*100)</f>
        <v>0</v>
      </c>
      <c r="N29" s="421"/>
      <c r="O29" s="914"/>
      <c r="P29" s="914"/>
      <c r="Q29" s="914"/>
      <c r="R29" s="914"/>
      <c r="S29" s="914"/>
      <c r="T29" s="914"/>
      <c r="U29" s="914"/>
      <c r="V29" s="914"/>
      <c r="W29" s="914"/>
      <c r="X29" s="914"/>
      <c r="Y29" s="914"/>
      <c r="Z29" s="914"/>
      <c r="AA29" s="914"/>
    </row>
    <row r="30" spans="1:27" ht="12.75" x14ac:dyDescent="0.2">
      <c r="A30" s="417" t="s">
        <v>447</v>
      </c>
      <c r="B30" s="135"/>
      <c r="C30" s="135"/>
      <c r="D30" s="135"/>
      <c r="E30" s="418"/>
      <c r="F30" s="135"/>
      <c r="G30" s="418"/>
      <c r="H30" s="135"/>
      <c r="I30" s="419"/>
      <c r="J30" s="420"/>
      <c r="L30" s="421"/>
      <c r="M30" s="421">
        <f>Results!O30+Results!O32</f>
        <v>0</v>
      </c>
      <c r="N30" s="421"/>
      <c r="O30" s="914"/>
      <c r="P30" s="914"/>
      <c r="Q30" s="914"/>
      <c r="R30" s="914"/>
      <c r="S30" s="914"/>
      <c r="T30" s="914"/>
      <c r="U30" s="914"/>
      <c r="V30" s="914"/>
      <c r="W30" s="914"/>
      <c r="X30" s="914"/>
      <c r="Y30" s="914"/>
      <c r="Z30" s="914"/>
      <c r="AA30" s="914"/>
    </row>
    <row r="31" spans="1:27" ht="12.75" x14ac:dyDescent="0.2">
      <c r="A31" s="417" t="str">
        <f>Results!B28</f>
        <v>Set up Costs Pivot</v>
      </c>
      <c r="B31" s="135"/>
      <c r="C31" s="135"/>
      <c r="D31" s="135"/>
      <c r="E31" s="135"/>
      <c r="F31" s="135"/>
      <c r="G31" s="418"/>
      <c r="H31" s="135"/>
      <c r="I31" s="135"/>
      <c r="J31" s="429"/>
      <c r="K31" s="367">
        <f>Results!M28</f>
        <v>312.30066416801952</v>
      </c>
      <c r="L31" s="421"/>
      <c r="M31" s="421">
        <f>Results!O28</f>
        <v>0</v>
      </c>
      <c r="N31" s="421"/>
      <c r="O31" s="914"/>
      <c r="P31" s="914"/>
      <c r="Q31" s="914"/>
      <c r="R31" s="914"/>
      <c r="S31" s="914"/>
      <c r="T31" s="914"/>
      <c r="U31" s="914"/>
      <c r="V31" s="914"/>
      <c r="W31" s="914"/>
      <c r="X31" s="914"/>
      <c r="Y31" s="914"/>
      <c r="Z31" s="914"/>
      <c r="AA31" s="914"/>
    </row>
    <row r="32" spans="1:27" ht="12.75" x14ac:dyDescent="0.2">
      <c r="A32" s="430" t="s">
        <v>408</v>
      </c>
      <c r="B32" s="423"/>
      <c r="C32" s="423">
        <f>SUM(C25:C28)</f>
        <v>80</v>
      </c>
      <c r="D32" s="424"/>
      <c r="E32" s="424"/>
      <c r="F32" s="424"/>
      <c r="G32" s="425"/>
      <c r="H32" s="424"/>
      <c r="I32" s="431"/>
      <c r="J32" s="426"/>
      <c r="K32" s="427"/>
      <c r="L32" s="428"/>
      <c r="M32" s="428"/>
      <c r="N32" s="428"/>
      <c r="O32" s="914"/>
      <c r="P32" s="914"/>
      <c r="Q32" s="914"/>
      <c r="R32" s="914"/>
      <c r="S32" s="914"/>
      <c r="T32" s="914"/>
      <c r="U32" s="914"/>
      <c r="V32" s="914"/>
      <c r="W32" s="914"/>
      <c r="X32" s="914"/>
      <c r="Y32" s="914"/>
      <c r="Z32" s="914"/>
      <c r="AA32" s="914"/>
    </row>
    <row r="33" spans="1:27" ht="12.75" x14ac:dyDescent="0.2">
      <c r="A33" s="432" t="s">
        <v>409</v>
      </c>
      <c r="B33" s="433"/>
      <c r="C33" s="433">
        <f>C24+C32</f>
        <v>160</v>
      </c>
      <c r="D33" s="135"/>
      <c r="E33" s="135"/>
      <c r="F33" s="135"/>
      <c r="G33" s="434">
        <f>Results!H34</f>
        <v>1080</v>
      </c>
      <c r="H33" s="135" t="s">
        <v>410</v>
      </c>
      <c r="I33" s="369"/>
      <c r="J33" s="420"/>
      <c r="L33" s="421"/>
      <c r="M33" s="421"/>
      <c r="N33" s="421"/>
      <c r="O33" s="914"/>
      <c r="P33" s="914"/>
      <c r="Q33" s="914"/>
      <c r="R33" s="914"/>
      <c r="S33" s="914"/>
      <c r="T33" s="914"/>
      <c r="U33" s="914"/>
      <c r="V33" s="914"/>
      <c r="W33" s="914"/>
      <c r="X33" s="914"/>
      <c r="Y33" s="914"/>
      <c r="Z33" s="914"/>
      <c r="AA33" s="914"/>
    </row>
    <row r="34" spans="1:27" ht="12.75" x14ac:dyDescent="0.2">
      <c r="A34" s="387" t="s">
        <v>380</v>
      </c>
      <c r="B34" s="135"/>
      <c r="C34" s="433">
        <f>Data!E20</f>
        <v>0</v>
      </c>
      <c r="D34" s="135"/>
      <c r="E34" s="135"/>
      <c r="F34" s="135"/>
      <c r="G34" s="435"/>
      <c r="H34" s="135"/>
      <c r="I34" s="418"/>
      <c r="J34" s="420"/>
      <c r="L34" s="421"/>
      <c r="M34" s="421"/>
      <c r="N34" s="421"/>
      <c r="O34" s="914"/>
      <c r="P34" s="914"/>
      <c r="Q34" s="914"/>
      <c r="R34" s="914"/>
      <c r="S34" s="914"/>
      <c r="T34" s="914"/>
      <c r="U34" s="914"/>
      <c r="V34" s="914"/>
      <c r="W34" s="914"/>
      <c r="X34" s="914"/>
      <c r="Y34" s="914"/>
      <c r="Z34" s="914"/>
      <c r="AA34" s="914"/>
    </row>
    <row r="35" spans="1:27" ht="12.75" x14ac:dyDescent="0.2">
      <c r="A35" s="430" t="s">
        <v>411</v>
      </c>
      <c r="B35" s="423"/>
      <c r="C35" s="423">
        <f>SUM(C33:C34)</f>
        <v>160</v>
      </c>
      <c r="D35" s="424"/>
      <c r="E35" s="307"/>
      <c r="F35" s="307"/>
      <c r="G35" s="307"/>
      <c r="H35" s="307"/>
      <c r="I35" s="436"/>
      <c r="J35" s="426"/>
      <c r="K35" s="427"/>
      <c r="L35" s="428"/>
      <c r="M35" s="428"/>
      <c r="N35" s="428"/>
      <c r="O35" s="914"/>
      <c r="P35" s="914"/>
      <c r="Q35" s="914"/>
      <c r="R35" s="914"/>
      <c r="S35" s="914"/>
      <c r="T35" s="914"/>
      <c r="U35" s="914"/>
      <c r="V35" s="914"/>
      <c r="W35" s="914"/>
      <c r="X35" s="914"/>
      <c r="Y35" s="914"/>
      <c r="Z35" s="914"/>
      <c r="AA35" s="914"/>
    </row>
    <row r="36" spans="1:27" ht="9.75" customHeight="1" x14ac:dyDescent="0.2">
      <c r="A36" s="387"/>
      <c r="E36" s="168"/>
      <c r="F36" s="168"/>
      <c r="G36" s="168"/>
      <c r="H36" s="168"/>
      <c r="I36" s="191" t="s">
        <v>379</v>
      </c>
      <c r="J36" s="408"/>
      <c r="L36" s="421"/>
      <c r="M36" s="418"/>
      <c r="N36" s="421"/>
      <c r="O36" s="914"/>
      <c r="P36" s="914"/>
      <c r="Q36" s="914"/>
      <c r="R36" s="914"/>
      <c r="S36" s="914"/>
      <c r="T36" s="914"/>
      <c r="U36" s="914"/>
      <c r="V36" s="914"/>
      <c r="W36" s="914"/>
      <c r="X36" s="914"/>
      <c r="Y36" s="914"/>
      <c r="Z36" s="914"/>
      <c r="AA36" s="914"/>
    </row>
    <row r="37" spans="1:27" ht="12.75" hidden="1" x14ac:dyDescent="0.2">
      <c r="A37" s="387" t="s">
        <v>414</v>
      </c>
      <c r="E37" s="168"/>
      <c r="F37" s="168"/>
      <c r="G37" s="168"/>
      <c r="H37" s="168"/>
      <c r="I37" s="191"/>
      <c r="J37" s="408"/>
      <c r="L37" s="421"/>
      <c r="M37" s="437"/>
      <c r="N37" s="421"/>
      <c r="O37" s="914"/>
      <c r="P37" s="914"/>
      <c r="Q37" s="914"/>
      <c r="R37" s="914"/>
      <c r="S37" s="914"/>
      <c r="T37" s="914"/>
      <c r="U37" s="914"/>
      <c r="V37" s="914"/>
      <c r="W37" s="914"/>
      <c r="X37" s="914"/>
      <c r="Y37" s="914"/>
      <c r="Z37" s="914"/>
      <c r="AA37" s="914"/>
    </row>
    <row r="38" spans="1:27" ht="12.75" hidden="1" x14ac:dyDescent="0.2">
      <c r="A38" s="387" t="s">
        <v>416</v>
      </c>
      <c r="E38"/>
      <c r="F38"/>
      <c r="G38" s="193">
        <f>IF(G8=0,0,K39/G8*100)</f>
        <v>0</v>
      </c>
      <c r="H38" s="193">
        <f>IF(G9=0,0,K39/G9*100)</f>
        <v>0</v>
      </c>
      <c r="I38" s="168"/>
      <c r="J38" s="194">
        <f>IF(G7=0,0,K39/G7)*100</f>
        <v>0</v>
      </c>
      <c r="K38" s="367">
        <f>SUM(Data!E80*Data!E81/Data!E82)</f>
        <v>20.571428571428573</v>
      </c>
      <c r="L38" s="438"/>
      <c r="M38" s="439"/>
      <c r="N38" s="440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 s="914"/>
      <c r="Z38" s="914"/>
      <c r="AA38" s="914"/>
    </row>
    <row r="39" spans="1:27" ht="12.75" hidden="1" x14ac:dyDescent="0.2">
      <c r="A39" s="387" t="s">
        <v>418</v>
      </c>
      <c r="E39" s="168"/>
      <c r="F39"/>
      <c r="G39"/>
      <c r="H39" s="168"/>
      <c r="I39" s="168"/>
      <c r="J39" s="209" t="e">
        <f>SUM((K49+K51+K52+K53+K54+K55+K56+K58)+(G60+G61+G62+K63+K64+K65+K66)*0.6)/(Data!E82+1)</f>
        <v>#DIV/0!</v>
      </c>
      <c r="K39" s="367" t="e">
        <f>J39</f>
        <v>#DIV/0!</v>
      </c>
      <c r="L39" s="389"/>
      <c r="M39" s="418"/>
      <c r="N39" s="389"/>
      <c r="O39" s="914"/>
      <c r="P39" s="914"/>
      <c r="Q39" s="914"/>
      <c r="R39" s="914"/>
      <c r="S39" s="914"/>
      <c r="T39" s="914"/>
      <c r="U39" s="914"/>
      <c r="V39" s="914"/>
      <c r="W39" s="914"/>
      <c r="X39" s="914"/>
      <c r="Y39" s="914"/>
      <c r="Z39" s="914"/>
      <c r="AA39" s="914"/>
    </row>
    <row r="40" spans="1:27" ht="12.75" x14ac:dyDescent="0.2">
      <c r="A40" s="387" t="s">
        <v>414</v>
      </c>
      <c r="E40" s="168"/>
      <c r="F40" s="168"/>
      <c r="G40" s="441">
        <f>IF(G7=0,0,(K38/G7)*100)</f>
        <v>0</v>
      </c>
      <c r="H40" s="441">
        <f>IF(G8=0,0,(K38/G8)*100)</f>
        <v>0</v>
      </c>
      <c r="I40" s="441">
        <f>IF(G9=0,0,(K38/G9)*100)</f>
        <v>0</v>
      </c>
      <c r="J40" s="408"/>
      <c r="L40" s="421">
        <f>IF(G7=0,0,(G40+J38))</f>
        <v>0</v>
      </c>
      <c r="M40" s="437">
        <f>SUM(H40+G38)</f>
        <v>0</v>
      </c>
      <c r="N40" s="421">
        <f>SUM(I40+H38)</f>
        <v>0</v>
      </c>
      <c r="O40" s="914"/>
      <c r="P40" s="914"/>
      <c r="Q40" s="914"/>
      <c r="R40" s="914"/>
      <c r="S40" s="914"/>
      <c r="T40" s="914"/>
      <c r="U40" s="914"/>
      <c r="V40" s="914"/>
      <c r="W40" s="914"/>
      <c r="X40" s="914"/>
      <c r="Y40" s="914"/>
      <c r="Z40" s="914"/>
      <c r="AA40" s="914"/>
    </row>
    <row r="41" spans="1:27" ht="12.75" hidden="1" x14ac:dyDescent="0.2">
      <c r="A41" s="387" t="s">
        <v>90</v>
      </c>
      <c r="E41" s="168"/>
      <c r="F41" s="168"/>
      <c r="G41" s="168"/>
      <c r="H41" s="168"/>
      <c r="I41" s="191"/>
      <c r="J41" s="408"/>
      <c r="L41" s="421"/>
      <c r="M41" s="437"/>
      <c r="N41" s="421"/>
      <c r="O41" s="914"/>
      <c r="P41" s="914"/>
      <c r="Q41" s="914"/>
      <c r="R41" s="914"/>
      <c r="S41" s="914"/>
      <c r="T41" s="914"/>
      <c r="U41" s="914"/>
      <c r="V41" s="914"/>
      <c r="W41" s="914"/>
      <c r="X41" s="914"/>
      <c r="Y41" s="914"/>
      <c r="Z41" s="914"/>
      <c r="AA41" s="914"/>
    </row>
    <row r="42" spans="1:27" ht="12.75" hidden="1" x14ac:dyDescent="0.2">
      <c r="A42" s="387" t="str">
        <f>Data!C85</f>
        <v>Single Super</v>
      </c>
      <c r="E42" s="168"/>
      <c r="F42" s="168"/>
      <c r="G42" s="168"/>
      <c r="H42" s="168"/>
      <c r="I42" s="191"/>
      <c r="J42" s="408"/>
      <c r="K42" s="367">
        <f>SUM((Data!E85+Data!G96)/1000*Data!H85)</f>
        <v>53.5</v>
      </c>
      <c r="L42" s="421"/>
      <c r="M42" s="437"/>
      <c r="N42" s="421"/>
      <c r="O42" s="914"/>
      <c r="P42" s="914"/>
      <c r="Q42" s="914"/>
      <c r="R42" s="914"/>
      <c r="S42" s="914"/>
      <c r="T42" s="914"/>
      <c r="U42" s="914"/>
      <c r="V42" s="914"/>
      <c r="W42" s="914"/>
      <c r="X42" s="914"/>
      <c r="Y42" s="914"/>
      <c r="Z42" s="914"/>
      <c r="AA42" s="914"/>
    </row>
    <row r="43" spans="1:27" ht="12.75" hidden="1" x14ac:dyDescent="0.2">
      <c r="A43" s="387" t="str">
        <f>Data!C86</f>
        <v>2 and 1</v>
      </c>
      <c r="E43" s="168"/>
      <c r="F43" s="168"/>
      <c r="G43" s="168"/>
      <c r="H43" s="168"/>
      <c r="I43" s="168"/>
      <c r="J43" s="388"/>
      <c r="K43" s="367">
        <f>SUM(Data!E86+Data!G96)/1000*Data!H86</f>
        <v>149</v>
      </c>
      <c r="L43" s="421"/>
      <c r="M43" s="437"/>
      <c r="N43" s="421"/>
      <c r="O43" s="914"/>
      <c r="P43" s="914"/>
      <c r="Q43" s="914"/>
      <c r="R43" s="914"/>
      <c r="S43" s="914"/>
      <c r="T43" s="914"/>
      <c r="U43" s="914"/>
      <c r="V43" s="914"/>
      <c r="W43" s="914"/>
      <c r="X43" s="914"/>
      <c r="Y43" s="914"/>
      <c r="Z43" s="914"/>
      <c r="AA43" s="914"/>
    </row>
    <row r="44" spans="1:27" ht="12.75" hidden="1" x14ac:dyDescent="0.2">
      <c r="A44" s="387">
        <f>Data!C87</f>
        <v>0</v>
      </c>
      <c r="E44" s="168"/>
      <c r="F44" s="168"/>
      <c r="G44" s="168"/>
      <c r="H44" s="168"/>
      <c r="I44" s="168"/>
      <c r="J44" s="388"/>
      <c r="K44" s="367">
        <f>SUM(Data!E87+Data!G96)/1000*Data!H87</f>
        <v>0</v>
      </c>
      <c r="L44" s="421"/>
      <c r="M44" s="437"/>
      <c r="N44" s="421"/>
      <c r="O44" s="914"/>
      <c r="P44" s="914"/>
      <c r="Q44" s="914"/>
      <c r="R44" s="914"/>
      <c r="S44" s="914"/>
      <c r="T44" s="914"/>
      <c r="U44" s="914"/>
      <c r="V44" s="914"/>
      <c r="W44" s="914"/>
      <c r="X44" s="914"/>
      <c r="Y44" s="914"/>
      <c r="Z44" s="914"/>
      <c r="AA44" s="914"/>
    </row>
    <row r="45" spans="1:27" ht="12.75" hidden="1" x14ac:dyDescent="0.2">
      <c r="A45" s="387">
        <f>Data!C88</f>
        <v>0</v>
      </c>
      <c r="E45" s="168"/>
      <c r="F45" s="168"/>
      <c r="G45" s="168"/>
      <c r="H45" s="168"/>
      <c r="I45" s="168"/>
      <c r="J45" s="388"/>
      <c r="K45" s="367">
        <f>SUM(Data!E88+Data!G96)/1000*Data!H88</f>
        <v>0</v>
      </c>
      <c r="L45" s="421"/>
      <c r="M45" s="437"/>
      <c r="N45" s="421"/>
      <c r="O45" s="914"/>
      <c r="P45" s="914"/>
      <c r="Q45" s="914"/>
      <c r="R45" s="914"/>
      <c r="S45" s="914"/>
      <c r="T45" s="914"/>
      <c r="U45" s="914"/>
      <c r="V45" s="914"/>
      <c r="W45" s="914"/>
      <c r="X45" s="914"/>
      <c r="Y45" s="914"/>
      <c r="Z45" s="914"/>
      <c r="AA45" s="914"/>
    </row>
    <row r="46" spans="1:27" ht="12.75" hidden="1" x14ac:dyDescent="0.2">
      <c r="A46" s="387" t="e">
        <f>Data!#REF!</f>
        <v>#REF!</v>
      </c>
      <c r="E46" s="168"/>
      <c r="F46" s="168"/>
      <c r="G46" s="168"/>
      <c r="H46" s="168"/>
      <c r="I46" s="168"/>
      <c r="J46" s="388"/>
      <c r="K46" s="367">
        <f>SUM(Data!E90*Data!H90)</f>
        <v>16.5</v>
      </c>
      <c r="L46" s="421"/>
      <c r="M46" s="437"/>
      <c r="N46" s="421"/>
      <c r="O46" s="914"/>
      <c r="P46" s="914"/>
      <c r="Q46" s="914"/>
      <c r="R46" s="914"/>
      <c r="S46" s="914"/>
      <c r="T46" s="914"/>
      <c r="U46" s="914"/>
      <c r="V46" s="914"/>
      <c r="W46" s="914"/>
      <c r="X46" s="914"/>
      <c r="Y46" s="914"/>
      <c r="Z46" s="914"/>
      <c r="AA46" s="914"/>
    </row>
    <row r="47" spans="1:27" ht="12.75" hidden="1" x14ac:dyDescent="0.2">
      <c r="A47" s="387" t="str">
        <f>Data!C90</f>
        <v>Lucerne Lift/Up</v>
      </c>
      <c r="E47" s="168"/>
      <c r="F47" s="168"/>
      <c r="G47" s="168"/>
      <c r="H47" s="168"/>
      <c r="I47" s="168"/>
      <c r="J47" s="388"/>
      <c r="K47" s="367">
        <f>SUM(Data!E91*Data!H91)</f>
        <v>3.7600000000000002</v>
      </c>
      <c r="L47" s="421"/>
      <c r="M47" s="437"/>
      <c r="N47" s="421"/>
      <c r="O47" s="914"/>
      <c r="P47" s="914"/>
      <c r="Q47" s="914"/>
      <c r="R47" s="914"/>
      <c r="S47" s="914"/>
      <c r="T47" s="914"/>
      <c r="U47" s="914"/>
      <c r="V47" s="914"/>
      <c r="W47" s="914"/>
      <c r="X47" s="914"/>
      <c r="Y47" s="914"/>
      <c r="Z47" s="914"/>
      <c r="AA47" s="914"/>
    </row>
    <row r="48" spans="1:27" ht="12.75" hidden="1" x14ac:dyDescent="0.2">
      <c r="A48" s="387" t="s">
        <v>420</v>
      </c>
      <c r="E48" s="168"/>
      <c r="F48" s="168"/>
      <c r="G48" s="168"/>
      <c r="H48" s="168"/>
      <c r="I48" s="168"/>
      <c r="J48" s="388"/>
      <c r="K48" s="367">
        <f>SUM(Data!E96*Data!F96)+(Data!E97*Data!F97)</f>
        <v>18</v>
      </c>
      <c r="L48" s="421"/>
      <c r="M48" s="437"/>
      <c r="N48" s="421"/>
      <c r="O48" s="914"/>
      <c r="P48" s="914"/>
      <c r="Q48" s="914"/>
      <c r="R48" s="914"/>
      <c r="S48" s="914"/>
      <c r="T48" s="914"/>
      <c r="U48" s="914"/>
      <c r="V48" s="914"/>
      <c r="W48" s="914"/>
      <c r="X48" s="914"/>
      <c r="Y48" s="914"/>
      <c r="Z48" s="914"/>
      <c r="AA48" s="914"/>
    </row>
    <row r="49" spans="1:27" ht="12.75" x14ac:dyDescent="0.2">
      <c r="A49" s="387" t="s">
        <v>90</v>
      </c>
      <c r="E49" s="168"/>
      <c r="F49" s="168"/>
      <c r="G49" s="168"/>
      <c r="H49" s="168"/>
      <c r="I49" s="168"/>
      <c r="J49" s="388"/>
      <c r="K49" s="367">
        <f>SUM(K42:K48)</f>
        <v>240.76</v>
      </c>
      <c r="L49" s="421">
        <f>IF(G7=0,0,(K49/G7)*100)</f>
        <v>0</v>
      </c>
      <c r="M49" s="437">
        <f>IF(G8=0,0,(K49/G8)*100)</f>
        <v>0</v>
      </c>
      <c r="N49" s="421">
        <f>IF(G9=0,0,(K49/G9)*100)*Data!E94</f>
        <v>0</v>
      </c>
      <c r="O49" s="914"/>
      <c r="P49" s="914"/>
      <c r="Q49" s="914"/>
      <c r="R49" s="914"/>
      <c r="S49" s="914"/>
      <c r="T49" s="914"/>
      <c r="U49" s="914"/>
      <c r="V49" s="914"/>
      <c r="W49" s="914"/>
      <c r="X49" s="914"/>
      <c r="Y49" s="914"/>
      <c r="Z49" s="914"/>
      <c r="AA49" s="914"/>
    </row>
    <row r="50" spans="1:27" ht="12.75" hidden="1" x14ac:dyDescent="0.2">
      <c r="A50" s="387" t="s">
        <v>107</v>
      </c>
      <c r="E50" s="168"/>
      <c r="F50" s="168"/>
      <c r="G50" s="168"/>
      <c r="H50" s="168"/>
      <c r="I50" s="191"/>
      <c r="J50" s="408"/>
      <c r="L50" s="421"/>
      <c r="M50" s="437"/>
      <c r="N50" s="421"/>
      <c r="O50" s="914"/>
      <c r="P50" s="914"/>
      <c r="Q50" s="914"/>
      <c r="R50" s="914"/>
      <c r="S50" s="914"/>
      <c r="T50" s="914"/>
      <c r="U50" s="914"/>
      <c r="V50" s="914"/>
      <c r="W50" s="914"/>
      <c r="X50" s="914"/>
      <c r="Y50" s="914"/>
      <c r="Z50" s="914"/>
      <c r="AA50" s="914"/>
    </row>
    <row r="51" spans="1:27" ht="12.75" hidden="1" x14ac:dyDescent="0.2">
      <c r="A51" s="387" t="s">
        <v>422</v>
      </c>
      <c r="E51" s="168"/>
      <c r="F51" s="168"/>
      <c r="G51" s="168"/>
      <c r="H51" s="168"/>
      <c r="I51" s="191"/>
      <c r="J51" s="408"/>
      <c r="K51" s="367">
        <f>SUM((Data!G100*Data!H100)+(Data!G101*Data!H101)+(Data!G102*Data!H102)+(Data!G103*Data!H103)+(Data!G104*Data!H104)+(Data!G105*Data!H105))</f>
        <v>72.727999999999994</v>
      </c>
      <c r="L51" s="421"/>
      <c r="M51" s="437"/>
      <c r="N51" s="421"/>
      <c r="O51" s="914"/>
      <c r="P51" s="914"/>
      <c r="Q51" s="914"/>
      <c r="R51" s="914"/>
      <c r="S51" s="914"/>
      <c r="T51" s="914"/>
      <c r="U51" s="914"/>
      <c r="V51" s="914"/>
      <c r="W51" s="914"/>
      <c r="X51" s="914"/>
      <c r="Y51" s="914"/>
      <c r="Z51" s="914"/>
      <c r="AA51" s="914"/>
    </row>
    <row r="52" spans="1:27" ht="12.75" hidden="1" x14ac:dyDescent="0.2">
      <c r="A52" s="387" t="s">
        <v>423</v>
      </c>
      <c r="E52" s="168"/>
      <c r="F52" s="168"/>
      <c r="G52" s="168"/>
      <c r="H52" s="168"/>
      <c r="I52" s="191"/>
      <c r="J52" s="408"/>
      <c r="K52" s="367">
        <f>SUM((Data!G107*Data!H107)+(Data!G108*Data!H108)+(Data!G109*Data!H109)+(Data!G110*Data!H110)+(Data!G111*Data!H111)+(Data!G112*Data!H112))</f>
        <v>76.38</v>
      </c>
      <c r="L52" s="421"/>
      <c r="M52" s="437"/>
      <c r="N52" s="421"/>
      <c r="O52" s="914"/>
      <c r="P52" s="914"/>
      <c r="Q52" s="914"/>
      <c r="R52" s="914"/>
      <c r="S52" s="914"/>
      <c r="T52" s="914"/>
      <c r="U52" s="914"/>
      <c r="V52" s="914"/>
      <c r="W52" s="914"/>
      <c r="X52" s="914"/>
      <c r="Y52" s="914"/>
      <c r="Z52" s="914"/>
      <c r="AA52" s="914"/>
    </row>
    <row r="53" spans="1:27" ht="12.75" hidden="1" x14ac:dyDescent="0.2">
      <c r="A53" s="387" t="s">
        <v>424</v>
      </c>
      <c r="E53" s="168"/>
      <c r="F53" s="168"/>
      <c r="G53" s="168"/>
      <c r="H53" s="168"/>
      <c r="I53" s="191"/>
      <c r="J53" s="408"/>
      <c r="K53" s="367">
        <f>SUM((Data!G114*Data!H114*Data!J114)+(Data!G115*Data!H115*Data!J115)+(Data!G116*Data!H116*Data!J116)+(Data!G117*Data!H117*Data!J117))</f>
        <v>36.924999999999997</v>
      </c>
      <c r="L53" s="421"/>
      <c r="M53" s="437"/>
      <c r="N53" s="421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  <c r="Z53" s="914"/>
      <c r="AA53" s="914"/>
    </row>
    <row r="54" spans="1:27" ht="12.75" hidden="1" x14ac:dyDescent="0.2">
      <c r="A54" s="387" t="s">
        <v>126</v>
      </c>
      <c r="E54" s="168"/>
      <c r="F54" s="168"/>
      <c r="G54" s="168"/>
      <c r="H54" s="168"/>
      <c r="I54" s="191"/>
      <c r="J54" s="408"/>
      <c r="K54" s="367">
        <f>SUM((Data!G119*Data!H119)+(Data!G120*Data!H120)+(Data!G121*Data!H121)+(Data!G122*Data!H122))</f>
        <v>12.5</v>
      </c>
      <c r="L54" s="421"/>
      <c r="M54" s="437"/>
      <c r="N54" s="421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  <c r="Z54" s="914"/>
      <c r="AA54" s="914"/>
    </row>
    <row r="55" spans="1:27" ht="12.75" hidden="1" x14ac:dyDescent="0.2">
      <c r="A55" s="387" t="s">
        <v>425</v>
      </c>
      <c r="E55" s="168"/>
      <c r="F55" s="168"/>
      <c r="G55" s="168"/>
      <c r="H55" s="168"/>
      <c r="I55" s="191"/>
      <c r="J55" s="408"/>
      <c r="K55" s="367">
        <f>SUM(K51+K52+K53+K54)*Data!E126</f>
        <v>9.9266500000000022</v>
      </c>
      <c r="L55" s="421"/>
      <c r="M55" s="437"/>
      <c r="N55" s="421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  <c r="Z55" s="914"/>
      <c r="AA55" s="914"/>
    </row>
    <row r="56" spans="1:27" ht="12.75" hidden="1" x14ac:dyDescent="0.2">
      <c r="A56" s="387" t="s">
        <v>426</v>
      </c>
      <c r="E56" s="168"/>
      <c r="F56" s="168"/>
      <c r="G56" s="168"/>
      <c r="H56" s="168"/>
      <c r="I56" s="191"/>
      <c r="J56" s="408"/>
      <c r="K56" s="367">
        <f>SUM(Data!E125*Data!G125)</f>
        <v>180</v>
      </c>
      <c r="L56" s="421"/>
      <c r="M56" s="437"/>
      <c r="N56" s="421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914"/>
      <c r="Z56" s="914"/>
      <c r="AA56" s="914"/>
    </row>
    <row r="57" spans="1:27" ht="12.75" x14ac:dyDescent="0.2">
      <c r="A57" s="387" t="s">
        <v>107</v>
      </c>
      <c r="E57" s="193" t="e">
        <f>IF(Data!E14=0,0,E70/Data!E14/G7*100)</f>
        <v>#DIV/0!</v>
      </c>
      <c r="F57" s="193" t="e">
        <f>IF(Data!E19=0,0,I70/Data!E19/G8*100)</f>
        <v>#DIV/0!</v>
      </c>
      <c r="G57" s="193"/>
      <c r="H57" s="168"/>
      <c r="I57" s="191"/>
      <c r="J57" s="408"/>
      <c r="L57" s="421">
        <f>IF(G7=0,0,(K51+K52+K53+K54+K55+K56)/G7*100)</f>
        <v>0</v>
      </c>
      <c r="M57" s="437">
        <f>IF(G8=0,0,(K51+K52+K53+K54+K55+K56)/G8*100)</f>
        <v>0</v>
      </c>
      <c r="N57" s="421">
        <f>IF(G9=0,0,(K51+K52+K53+K54+K55+K56)/G9*100)*Data!E123</f>
        <v>0</v>
      </c>
      <c r="O57" s="914"/>
      <c r="P57" s="914"/>
      <c r="Q57" s="914"/>
      <c r="R57" s="914"/>
      <c r="S57" s="914"/>
      <c r="T57" s="914"/>
      <c r="U57" s="914"/>
      <c r="V57" s="914"/>
      <c r="W57" s="914"/>
      <c r="X57" s="914"/>
      <c r="Y57" s="914"/>
      <c r="Z57" s="914"/>
      <c r="AA57" s="914"/>
    </row>
    <row r="58" spans="1:27" ht="12.75" x14ac:dyDescent="0.2">
      <c r="A58" s="387" t="s">
        <v>131</v>
      </c>
      <c r="E58" s="193">
        <f>IF(G7=0,0,Data!F152/1000)*100</f>
        <v>0</v>
      </c>
      <c r="F58" s="193">
        <f>IF(G8=0,0,Data!F152/1000)*100</f>
        <v>0</v>
      </c>
      <c r="G58" s="193">
        <f>IF(G9=0,0,Data!F152/1000)*100</f>
        <v>0</v>
      </c>
      <c r="H58" s="168"/>
      <c r="I58" s="191"/>
      <c r="J58" s="408"/>
      <c r="K58" s="367">
        <f>SUM((Data!I130+Data!I131))</f>
        <v>32</v>
      </c>
      <c r="L58" s="421">
        <f>IF(G7=0,0,(K58/G7*100))</f>
        <v>0</v>
      </c>
      <c r="M58" s="437">
        <f>IF(G8=0,0,(K58/G8*100))</f>
        <v>0</v>
      </c>
      <c r="N58" s="421">
        <f>IF(G9=0,0,(K58/G9*100))</f>
        <v>0</v>
      </c>
      <c r="O58" s="914"/>
      <c r="P58" s="914"/>
      <c r="Q58" s="914"/>
      <c r="R58" s="914"/>
      <c r="S58" s="914"/>
      <c r="T58" s="914"/>
      <c r="U58" s="914"/>
      <c r="V58" s="914"/>
      <c r="W58" s="914"/>
      <c r="X58" s="914"/>
      <c r="Y58" s="914"/>
      <c r="Z58" s="914"/>
      <c r="AA58" s="914"/>
    </row>
    <row r="59" spans="1:27" ht="12.75" x14ac:dyDescent="0.2">
      <c r="A59" s="387" t="s">
        <v>137</v>
      </c>
      <c r="E59" s="168" t="s">
        <v>448</v>
      </c>
      <c r="F59" s="168"/>
      <c r="G59" s="168"/>
      <c r="H59" s="168"/>
      <c r="I59" s="191"/>
      <c r="J59" s="442"/>
      <c r="K59" s="367">
        <f>SUM(Data!E134*Data!H134)</f>
        <v>31.25</v>
      </c>
      <c r="L59" s="421">
        <f>IF(G7=0,0,(K59/G7*100))</f>
        <v>0</v>
      </c>
      <c r="M59" s="437">
        <f>IF(G8=0,0,(K59/G8*100))</f>
        <v>0</v>
      </c>
      <c r="N59" s="421">
        <f>IF(G9=0,0,(K59/G9*100))</f>
        <v>0</v>
      </c>
      <c r="O59" s="914"/>
      <c r="P59" s="914"/>
      <c r="Q59" s="914"/>
      <c r="R59" s="914"/>
      <c r="S59" s="914"/>
      <c r="T59" s="914"/>
      <c r="U59" s="914"/>
      <c r="V59" s="914"/>
      <c r="W59" s="914"/>
      <c r="X59" s="914"/>
      <c r="Y59" s="914"/>
      <c r="Z59" s="914"/>
      <c r="AA59" s="914"/>
    </row>
    <row r="60" spans="1:27" ht="12.75" hidden="1" x14ac:dyDescent="0.2">
      <c r="A60" s="387" t="s">
        <v>449</v>
      </c>
      <c r="E60" s="168"/>
      <c r="F60" s="168"/>
      <c r="G60" s="441" t="e">
        <f>Results!N63</f>
        <v>#DIV/0!</v>
      </c>
      <c r="H60" s="168"/>
      <c r="I60" s="441" t="e">
        <f>Results!O63</f>
        <v>#DIV/0!</v>
      </c>
      <c r="J60" s="443">
        <f>Results!P63</f>
        <v>0</v>
      </c>
      <c r="K60" s="444"/>
      <c r="L60" s="445" t="e">
        <f>Results!N63</f>
        <v>#DIV/0!</v>
      </c>
      <c r="M60" s="446" t="e">
        <f>Results!O63</f>
        <v>#DIV/0!</v>
      </c>
      <c r="N60" s="446">
        <f>Results!P63</f>
        <v>0</v>
      </c>
      <c r="O60" s="914"/>
      <c r="P60" s="914"/>
      <c r="Q60" s="914"/>
      <c r="R60" s="914"/>
      <c r="S60" s="914"/>
      <c r="T60" s="914"/>
      <c r="U60" s="914"/>
      <c r="V60" s="914"/>
      <c r="W60" s="914"/>
      <c r="X60" s="914"/>
      <c r="Y60" s="914"/>
      <c r="Z60" s="914"/>
      <c r="AA60" s="914"/>
    </row>
    <row r="61" spans="1:27" ht="12.75" hidden="1" x14ac:dyDescent="0.2">
      <c r="A61" s="387" t="s">
        <v>449</v>
      </c>
      <c r="E61" s="168"/>
      <c r="F61" s="168"/>
      <c r="G61" s="441">
        <f>Results!N64</f>
        <v>0</v>
      </c>
      <c r="H61" s="168"/>
      <c r="I61" s="441">
        <f>Results!O64</f>
        <v>0</v>
      </c>
      <c r="J61" s="443">
        <f>Results!P64</f>
        <v>0</v>
      </c>
      <c r="K61" s="444"/>
      <c r="L61" s="445">
        <f>Results!N64</f>
        <v>0</v>
      </c>
      <c r="M61" s="446">
        <f>Results!O64</f>
        <v>0</v>
      </c>
      <c r="N61" s="446">
        <f>Results!P64</f>
        <v>0</v>
      </c>
      <c r="O61" s="914"/>
      <c r="P61" s="914"/>
      <c r="Q61" s="914"/>
      <c r="R61" s="914"/>
      <c r="S61" s="914"/>
      <c r="T61" s="914"/>
      <c r="U61" s="914"/>
      <c r="V61" s="914"/>
      <c r="W61" s="914"/>
      <c r="X61" s="914"/>
      <c r="Y61" s="914"/>
      <c r="Z61" s="914"/>
      <c r="AA61" s="914"/>
    </row>
    <row r="62" spans="1:27" ht="12.75" hidden="1" x14ac:dyDescent="0.2">
      <c r="A62" s="387" t="s">
        <v>449</v>
      </c>
      <c r="E62" s="168"/>
      <c r="F62" s="168"/>
      <c r="G62" s="441">
        <f>Results!N65</f>
        <v>0</v>
      </c>
      <c r="H62" s="168"/>
      <c r="I62" s="441">
        <f>Results!O65</f>
        <v>0</v>
      </c>
      <c r="J62" s="443">
        <f>Results!P65</f>
        <v>0</v>
      </c>
      <c r="L62" s="447">
        <f>Results!N65</f>
        <v>0</v>
      </c>
      <c r="M62" s="440">
        <f>Results!O65</f>
        <v>0</v>
      </c>
      <c r="N62" s="440">
        <f>Results!P65</f>
        <v>0</v>
      </c>
      <c r="O62" s="914"/>
      <c r="P62" s="914"/>
      <c r="Q62" s="914"/>
      <c r="R62" s="914"/>
      <c r="S62" s="914"/>
      <c r="T62" s="914"/>
      <c r="U62" s="914"/>
      <c r="V62" s="914"/>
      <c r="W62" s="914"/>
      <c r="X62" s="914"/>
      <c r="Y62" s="914"/>
      <c r="Z62" s="914"/>
      <c r="AA62" s="914"/>
    </row>
    <row r="63" spans="1:27" ht="12.75" hidden="1" x14ac:dyDescent="0.2">
      <c r="A63" s="387" t="s">
        <v>449</v>
      </c>
      <c r="E63" s="168"/>
      <c r="F63" s="168"/>
      <c r="G63" s="168"/>
      <c r="H63" s="168"/>
      <c r="I63" s="191"/>
      <c r="J63" s="408"/>
      <c r="K63" s="367">
        <f>SUM(Data!E141)</f>
        <v>10</v>
      </c>
      <c r="L63" s="448"/>
      <c r="M63" s="437"/>
      <c r="N63" s="421"/>
      <c r="O63" s="914"/>
      <c r="P63" s="914"/>
      <c r="Q63" s="914"/>
      <c r="R63" s="914"/>
      <c r="S63" s="914"/>
      <c r="T63" s="914"/>
      <c r="U63" s="914"/>
      <c r="V63" s="914"/>
      <c r="W63" s="914"/>
      <c r="X63" s="914"/>
      <c r="Y63" s="914"/>
      <c r="Z63" s="914"/>
      <c r="AA63" s="914"/>
    </row>
    <row r="64" spans="1:27" ht="12.75" hidden="1" x14ac:dyDescent="0.2">
      <c r="A64" s="387" t="s">
        <v>449</v>
      </c>
      <c r="E64" s="168"/>
      <c r="F64" s="168"/>
      <c r="G64" s="168"/>
      <c r="H64" s="168"/>
      <c r="I64" s="191"/>
      <c r="J64" s="408"/>
      <c r="K64" s="367">
        <f>Data!E142</f>
        <v>15</v>
      </c>
      <c r="L64" s="448"/>
      <c r="M64" s="437"/>
      <c r="N64" s="421"/>
      <c r="O64" s="914"/>
      <c r="P64" s="914"/>
      <c r="Q64" s="914"/>
      <c r="R64" s="914"/>
      <c r="S64" s="914"/>
      <c r="T64" s="914"/>
      <c r="U64" s="914"/>
      <c r="V64" s="914"/>
      <c r="W64" s="914"/>
      <c r="X64" s="914"/>
      <c r="Y64" s="914"/>
      <c r="Z64" s="914"/>
      <c r="AA64" s="914"/>
    </row>
    <row r="65" spans="1:27" ht="12.75" hidden="1" x14ac:dyDescent="0.2">
      <c r="A65" s="387" t="s">
        <v>449</v>
      </c>
      <c r="E65" s="168"/>
      <c r="F65" s="168"/>
      <c r="G65" s="168"/>
      <c r="H65" s="168"/>
      <c r="I65" s="191"/>
      <c r="J65" s="408"/>
      <c r="K65" s="367">
        <f>Data!E145</f>
        <v>45</v>
      </c>
      <c r="L65" s="421"/>
      <c r="M65" s="437"/>
      <c r="N65" s="421"/>
      <c r="O65" s="914"/>
      <c r="P65" s="914"/>
      <c r="Q65" s="914"/>
      <c r="R65" s="914"/>
      <c r="S65" s="914"/>
      <c r="T65" s="914"/>
      <c r="U65" s="914"/>
      <c r="V65" s="914"/>
      <c r="W65" s="914"/>
      <c r="X65" s="914"/>
      <c r="Y65" s="914"/>
      <c r="Z65" s="914"/>
      <c r="AA65" s="914"/>
    </row>
    <row r="66" spans="1:27" ht="12.75" hidden="1" x14ac:dyDescent="0.2">
      <c r="A66" s="387" t="s">
        <v>449</v>
      </c>
      <c r="E66" s="168">
        <f>SUM(Data!E14+Data!E19)</f>
        <v>160</v>
      </c>
      <c r="F66" s="168"/>
      <c r="G66" s="301">
        <f>Data!E147*Data!F147</f>
        <v>1500</v>
      </c>
      <c r="H66" s="168"/>
      <c r="I66" s="191"/>
      <c r="J66" s="408"/>
      <c r="K66" s="367">
        <f>IF(E66=0,0,G66/E66)</f>
        <v>9.375</v>
      </c>
      <c r="L66" s="421"/>
      <c r="M66" s="437"/>
      <c r="N66" s="421"/>
      <c r="O66" s="914"/>
      <c r="P66" s="914"/>
      <c r="Q66" s="914"/>
      <c r="R66" s="914"/>
      <c r="S66" s="914"/>
      <c r="T66" s="914"/>
      <c r="U66" s="914"/>
      <c r="V66" s="914"/>
      <c r="W66" s="914"/>
      <c r="X66" s="914"/>
      <c r="Y66" s="914"/>
      <c r="Z66" s="914"/>
      <c r="AA66" s="914"/>
    </row>
    <row r="67" spans="1:27" ht="12.75" x14ac:dyDescent="0.2">
      <c r="A67" s="387" t="s">
        <v>141</v>
      </c>
      <c r="E67" s="168"/>
      <c r="F67" s="168"/>
      <c r="G67" s="168"/>
      <c r="H67" s="168"/>
      <c r="I67" s="191"/>
      <c r="J67" s="408"/>
      <c r="L67" s="421" t="e">
        <f>IF(G7=0,0,(K63+K64)/G7*100)+L60+L61+L62</f>
        <v>#DIV/0!</v>
      </c>
      <c r="M67" s="437" t="e">
        <f>IF(G8=0,0,(K63+K64)/G8*100)+M60+M61+M62</f>
        <v>#DIV/0!</v>
      </c>
      <c r="N67" s="421">
        <f>IF(G9=0,0,(K63+K64)/G9*100)+N60+N61+N62</f>
        <v>0</v>
      </c>
      <c r="O67" s="914"/>
      <c r="P67" s="914"/>
      <c r="Q67" s="914"/>
      <c r="R67" s="914"/>
      <c r="S67" s="914"/>
      <c r="T67" s="914"/>
      <c r="U67" s="914"/>
      <c r="V67" s="914"/>
      <c r="W67" s="914"/>
      <c r="X67" s="914"/>
      <c r="Y67" s="914"/>
      <c r="Z67" s="914"/>
      <c r="AA67" s="914"/>
    </row>
    <row r="68" spans="1:27" ht="12.75" x14ac:dyDescent="0.2">
      <c r="A68" s="387" t="s">
        <v>148</v>
      </c>
      <c r="E68" s="168"/>
      <c r="F68" s="168"/>
      <c r="G68" s="168"/>
      <c r="H68" s="168"/>
      <c r="I68" s="449"/>
      <c r="J68" s="408"/>
      <c r="L68" s="421">
        <f>IF(G7=0,0,(K65+K66)/G7*100)</f>
        <v>0</v>
      </c>
      <c r="M68" s="421">
        <f>IF(G8=0,0,(K65+K66)/G8*100)</f>
        <v>0</v>
      </c>
      <c r="N68" s="421">
        <f>IF(G9=0,0,(K65)/G9*100)</f>
        <v>0</v>
      </c>
      <c r="O68" s="914"/>
      <c r="P68" s="914"/>
      <c r="Q68" s="914"/>
      <c r="R68" s="914"/>
      <c r="S68" s="914"/>
      <c r="T68" s="914"/>
      <c r="U68" s="914"/>
      <c r="V68" s="914"/>
      <c r="W68" s="914"/>
      <c r="X68" s="914"/>
      <c r="Y68" s="914"/>
      <c r="Z68" s="914"/>
      <c r="AA68" s="914"/>
    </row>
    <row r="69" spans="1:27" ht="12.75" x14ac:dyDescent="0.2">
      <c r="A69" s="387" t="s">
        <v>153</v>
      </c>
      <c r="I69" s="369"/>
      <c r="J69" s="408"/>
      <c r="L69" s="421" t="e">
        <f>SUM(E57:E58)</f>
        <v>#DIV/0!</v>
      </c>
      <c r="M69" s="437" t="e">
        <f>SUM(F57:F58)</f>
        <v>#DIV/0!</v>
      </c>
      <c r="N69" s="421">
        <f>SUM(G57:G58)</f>
        <v>0</v>
      </c>
      <c r="O69" s="914"/>
      <c r="P69" s="914"/>
      <c r="Q69" s="914"/>
      <c r="R69" s="914"/>
      <c r="S69" s="914"/>
      <c r="T69" s="914"/>
      <c r="U69" s="914"/>
      <c r="V69" s="914"/>
      <c r="W69" s="914"/>
      <c r="X69" s="914"/>
      <c r="Y69" s="914"/>
      <c r="Z69" s="914"/>
      <c r="AA69" s="914"/>
    </row>
    <row r="70" spans="1:27" ht="12.75" hidden="1" x14ac:dyDescent="0.2">
      <c r="A70" s="387" t="s">
        <v>154</v>
      </c>
      <c r="C70" s="166" t="s">
        <v>377</v>
      </c>
      <c r="E70" s="450">
        <f>IF(Data!E14=0,0,Data!E150*Data!G33)</f>
        <v>2296.7999999999997</v>
      </c>
      <c r="G70" s="166" t="s">
        <v>379</v>
      </c>
      <c r="H70" s="135"/>
      <c r="I70" s="451">
        <f>IF(Data!E19=0,0,(Data!E150*Data!G38))</f>
        <v>1670.3999999999999</v>
      </c>
      <c r="J70" s="408"/>
      <c r="L70" s="421"/>
      <c r="M70" s="437"/>
      <c r="N70" s="389"/>
      <c r="O70" s="914"/>
      <c r="P70" s="914"/>
      <c r="Q70" s="914"/>
      <c r="R70" s="914"/>
      <c r="S70" s="914"/>
      <c r="T70" s="914"/>
      <c r="U70" s="914"/>
      <c r="V70" s="914"/>
      <c r="W70" s="914"/>
      <c r="X70" s="914"/>
      <c r="Y70" s="914"/>
      <c r="Z70" s="914"/>
      <c r="AA70" s="914"/>
    </row>
    <row r="71" spans="1:27" ht="12.75" hidden="1" x14ac:dyDescent="0.2">
      <c r="A71" s="387" t="s">
        <v>159</v>
      </c>
      <c r="G71" s="166">
        <f>SUM(Data!F152*E11)</f>
        <v>0</v>
      </c>
      <c r="I71" s="369"/>
      <c r="J71" s="408"/>
      <c r="L71" s="421"/>
      <c r="M71" s="437"/>
      <c r="N71" s="389"/>
      <c r="O71" s="914"/>
      <c r="P71" s="914"/>
      <c r="Q71" s="914"/>
      <c r="R71" s="914"/>
      <c r="S71" s="914"/>
      <c r="T71" s="914"/>
      <c r="U71" s="914"/>
      <c r="V71" s="914"/>
      <c r="W71" s="914"/>
      <c r="X71" s="914"/>
      <c r="Y71" s="914"/>
      <c r="Z71" s="914"/>
      <c r="AA71" s="914"/>
    </row>
    <row r="72" spans="1:27" ht="12.75" hidden="1" x14ac:dyDescent="0.2">
      <c r="A72" s="387"/>
      <c r="I72" s="369"/>
      <c r="J72" s="408"/>
      <c r="L72" s="421"/>
      <c r="M72" s="437"/>
      <c r="N72" s="421"/>
      <c r="O72" s="914"/>
      <c r="P72" s="914"/>
      <c r="Q72" s="914"/>
      <c r="R72" s="914"/>
      <c r="S72" s="914"/>
      <c r="T72" s="914"/>
      <c r="U72" s="914"/>
      <c r="V72" s="914"/>
      <c r="W72" s="914"/>
      <c r="X72" s="914"/>
      <c r="Y72" s="914"/>
      <c r="Z72" s="914"/>
      <c r="AA72" s="914"/>
    </row>
    <row r="73" spans="1:27" ht="12.75" x14ac:dyDescent="0.2">
      <c r="A73" s="387" t="s">
        <v>160</v>
      </c>
      <c r="I73" s="369"/>
      <c r="J73" s="408"/>
      <c r="L73" s="421" t="e">
        <f>IF(Data!E14=0,0,((Data!E161*Data!E158*Data!E54)/100/G7)*100)</f>
        <v>#DIV/0!</v>
      </c>
      <c r="M73" s="437" t="e">
        <f>IF(Data!E19=0,0,((Data!E161*Data!E157*Data!E54)/100)/G8*100)</f>
        <v>#DIV/0!</v>
      </c>
      <c r="N73" s="421">
        <f>IF(Data!E20=0,0,((Data!E161*Data!E159*Data!E54)/100/G9*100))</f>
        <v>0</v>
      </c>
      <c r="O73" s="914"/>
      <c r="P73" s="914"/>
      <c r="Q73" s="914"/>
      <c r="R73" s="914"/>
      <c r="S73" s="914"/>
      <c r="T73" s="914"/>
      <c r="U73" s="914"/>
      <c r="V73" s="914"/>
      <c r="W73" s="914"/>
      <c r="X73" s="914"/>
      <c r="Y73" s="914"/>
      <c r="Z73" s="914"/>
      <c r="AA73" s="914"/>
    </row>
    <row r="74" spans="1:27" ht="12.75" hidden="1" x14ac:dyDescent="0.2">
      <c r="A74" s="387" t="s">
        <v>167</v>
      </c>
      <c r="I74" s="369"/>
      <c r="J74" s="408"/>
      <c r="L74" s="421"/>
      <c r="M74" s="437"/>
      <c r="N74" s="421"/>
      <c r="O74" s="914"/>
      <c r="P74" s="914"/>
      <c r="Q74" s="914"/>
      <c r="R74" s="914"/>
      <c r="S74" s="914"/>
      <c r="T74" s="914"/>
      <c r="U74" s="914"/>
      <c r="V74" s="914"/>
      <c r="W74" s="914"/>
      <c r="X74" s="914"/>
      <c r="Y74" s="914"/>
      <c r="Z74" s="914"/>
      <c r="AA74" s="914"/>
    </row>
    <row r="75" spans="1:27" ht="12.75" hidden="1" x14ac:dyDescent="0.2">
      <c r="A75" s="387" t="s">
        <v>70</v>
      </c>
      <c r="I75" s="369"/>
      <c r="J75" s="408"/>
      <c r="K75" s="367">
        <f>Results!M77</f>
        <v>30.5</v>
      </c>
      <c r="L75" s="421">
        <f>IF(G7=0,0,Results!N77)</f>
        <v>0</v>
      </c>
      <c r="M75" s="437">
        <f>IF(G8=0,0,Results!O77)</f>
        <v>0</v>
      </c>
      <c r="N75" s="421">
        <f>IF(G9=0,0,Results!P77)</f>
        <v>0</v>
      </c>
      <c r="O75" s="914"/>
      <c r="P75" s="914"/>
      <c r="Q75" s="914"/>
      <c r="R75" s="914"/>
      <c r="S75" s="914"/>
      <c r="T75" s="914"/>
      <c r="U75" s="914"/>
      <c r="V75" s="914"/>
      <c r="W75" s="914"/>
      <c r="X75" s="914"/>
      <c r="Y75" s="914"/>
      <c r="Z75" s="914"/>
      <c r="AA75" s="914"/>
    </row>
    <row r="76" spans="1:27" ht="12.75" hidden="1" x14ac:dyDescent="0.2">
      <c r="A76" s="387" t="s">
        <v>171</v>
      </c>
      <c r="I76" s="369"/>
      <c r="J76" s="408"/>
      <c r="K76" s="367">
        <f>Results!M78</f>
        <v>55</v>
      </c>
      <c r="L76" s="421">
        <f>IF(G7=0,0,Results!N78)</f>
        <v>0</v>
      </c>
      <c r="M76" s="437">
        <f>IF(G8=0,0,Results!O78)</f>
        <v>0</v>
      </c>
      <c r="N76" s="421">
        <f>IF(G9=0,0,Results!P78)</f>
        <v>0</v>
      </c>
      <c r="O76" s="914"/>
      <c r="P76" s="914"/>
      <c r="Q76" s="914"/>
      <c r="R76" s="914"/>
      <c r="S76" s="914"/>
      <c r="T76" s="914"/>
      <c r="U76" s="914"/>
      <c r="V76" s="914"/>
      <c r="W76" s="914"/>
      <c r="X76" s="914"/>
      <c r="Y76" s="914"/>
      <c r="Z76" s="914"/>
      <c r="AA76" s="914"/>
    </row>
    <row r="77" spans="1:27" ht="12.75" hidden="1" x14ac:dyDescent="0.2">
      <c r="A77" s="387" t="s">
        <v>431</v>
      </c>
      <c r="I77" s="369"/>
      <c r="J77" s="408"/>
      <c r="K77" s="367">
        <f>SUM(Data!G168/Data!H168)</f>
        <v>268</v>
      </c>
      <c r="L77" s="421">
        <f>IF(G7=0,0,(K77/G7*100))</f>
        <v>0</v>
      </c>
      <c r="M77" s="437">
        <f>IF(G8=0,0,(K77/G8*100))</f>
        <v>0</v>
      </c>
      <c r="N77" s="421">
        <f>IF(G9=0,0,(K77/G9*100))</f>
        <v>0</v>
      </c>
      <c r="O77" s="914"/>
      <c r="P77" s="914"/>
      <c r="Q77" s="914"/>
      <c r="R77" s="914"/>
      <c r="S77" s="914"/>
      <c r="T77" s="914"/>
      <c r="U77" s="914"/>
      <c r="V77" s="914"/>
      <c r="W77" s="914"/>
      <c r="X77" s="914"/>
      <c r="Y77" s="914"/>
      <c r="Z77" s="914"/>
      <c r="AA77" s="914"/>
    </row>
    <row r="78" spans="1:27" ht="12.75" hidden="1" x14ac:dyDescent="0.2">
      <c r="A78" s="387" t="s">
        <v>432</v>
      </c>
      <c r="I78" s="369"/>
      <c r="J78" s="408"/>
      <c r="K78" s="367">
        <f>IF(Data!E21=0,0,(Data!E169*Data!F169)/Data!E21)/15</f>
        <v>8.3333333333333339</v>
      </c>
      <c r="L78" s="421">
        <f>IF(G7=0,0,(K78/G7*100))</f>
        <v>0</v>
      </c>
      <c r="M78" s="437">
        <f>IF(G8=0,0,(K78/G8*100))</f>
        <v>0</v>
      </c>
      <c r="N78" s="421">
        <f>IF(G9=0,0,(K78/G9*100))</f>
        <v>0</v>
      </c>
      <c r="O78" s="914"/>
      <c r="P78" s="914"/>
      <c r="Q78" s="914"/>
      <c r="R78" s="914"/>
      <c r="S78" s="914"/>
      <c r="T78" s="914"/>
      <c r="U78" s="914"/>
      <c r="V78" s="914"/>
      <c r="W78" s="914"/>
      <c r="X78" s="914"/>
      <c r="Y78" s="914"/>
      <c r="Z78" s="914"/>
      <c r="AA78" s="914"/>
    </row>
    <row r="79" spans="1:27" ht="12.75" hidden="1" x14ac:dyDescent="0.2">
      <c r="A79" s="387" t="s">
        <v>450</v>
      </c>
      <c r="I79" s="369"/>
      <c r="J79" s="408"/>
      <c r="K79" s="367">
        <f>IF(Data!E21=0,0,(Data!E170*E11)/Data!E21)</f>
        <v>0</v>
      </c>
      <c r="L79" s="452">
        <f>IF(G8=0,0,(Data!E170/10))</f>
        <v>0</v>
      </c>
      <c r="M79" s="452">
        <f>IF(G8=0,0,(Data!E170/10))</f>
        <v>0</v>
      </c>
      <c r="N79" s="452">
        <f>IF(G9=0,0,(Data!E170/10))</f>
        <v>0</v>
      </c>
      <c r="O79" s="914"/>
      <c r="P79" s="914"/>
      <c r="Q79" s="914"/>
      <c r="R79" s="914"/>
      <c r="S79" s="914"/>
      <c r="T79" s="914"/>
      <c r="U79" s="914"/>
      <c r="V79" s="914"/>
      <c r="W79" s="914"/>
      <c r="X79" s="914"/>
      <c r="Y79" s="914"/>
      <c r="Z79" s="914"/>
      <c r="AA79" s="914"/>
    </row>
    <row r="80" spans="1:27" ht="12.75" x14ac:dyDescent="0.2">
      <c r="A80" s="410" t="s">
        <v>167</v>
      </c>
      <c r="B80" s="453"/>
      <c r="C80" s="424"/>
      <c r="D80" s="453"/>
      <c r="E80" s="424"/>
      <c r="F80" s="453"/>
      <c r="G80" s="453"/>
      <c r="H80" s="453"/>
      <c r="I80" s="431"/>
      <c r="J80" s="454"/>
      <c r="K80" s="453"/>
      <c r="L80" s="421">
        <f>SUM(L75:L79)</f>
        <v>0</v>
      </c>
      <c r="M80" s="437">
        <f>SUM(M75:M79)</f>
        <v>0</v>
      </c>
      <c r="N80" s="421">
        <f>SUM(N75:N79)</f>
        <v>0</v>
      </c>
      <c r="O80" s="914"/>
      <c r="P80" s="914"/>
      <c r="Q80" s="914"/>
      <c r="R80" s="914"/>
      <c r="S80" s="914"/>
      <c r="T80" s="914"/>
      <c r="U80" s="914"/>
      <c r="V80" s="914"/>
      <c r="W80" s="914"/>
      <c r="X80" s="914"/>
      <c r="Y80" s="914"/>
      <c r="Z80" s="914"/>
      <c r="AA80" s="914"/>
    </row>
    <row r="81" spans="1:27" ht="12.75" x14ac:dyDescent="0.2">
      <c r="A81" s="455"/>
      <c r="I81" s="433"/>
      <c r="J81" s="456"/>
      <c r="K81" s="457"/>
      <c r="L81" s="458" t="s">
        <v>24</v>
      </c>
      <c r="M81" s="459" t="s">
        <v>51</v>
      </c>
      <c r="N81" s="460" t="s">
        <v>387</v>
      </c>
      <c r="O81" s="914"/>
      <c r="P81" s="914"/>
      <c r="Q81" s="914"/>
      <c r="R81" s="914"/>
      <c r="S81" s="914"/>
      <c r="T81" s="914"/>
      <c r="U81" s="914"/>
      <c r="V81" s="914"/>
      <c r="W81" s="914"/>
      <c r="X81" s="914"/>
      <c r="Y81" s="914"/>
      <c r="Z81" s="914"/>
      <c r="AA81" s="914"/>
    </row>
    <row r="82" spans="1:27" x14ac:dyDescent="0.2">
      <c r="A82" s="455"/>
      <c r="I82" s="461"/>
      <c r="J82" s="461"/>
      <c r="K82" s="462"/>
      <c r="L82" s="463" t="s">
        <v>434</v>
      </c>
      <c r="M82" s="464" t="s">
        <v>434</v>
      </c>
      <c r="N82" s="465" t="s">
        <v>434</v>
      </c>
      <c r="O82" s="914"/>
      <c r="P82" s="914"/>
      <c r="Q82" s="914"/>
      <c r="R82" s="914"/>
      <c r="S82" s="914"/>
      <c r="T82" s="914"/>
      <c r="U82" s="914"/>
      <c r="V82" s="914"/>
      <c r="W82" s="914"/>
      <c r="X82" s="914"/>
      <c r="Y82" s="914"/>
      <c r="Z82" s="914"/>
      <c r="AA82" s="914"/>
    </row>
    <row r="83" spans="1:27" s="467" customFormat="1" ht="12.75" x14ac:dyDescent="0.2">
      <c r="A83" s="466"/>
      <c r="H83" s="468"/>
      <c r="I83" s="469"/>
      <c r="J83" s="470" t="s">
        <v>435</v>
      </c>
      <c r="K83" s="471"/>
      <c r="L83" s="472" t="e">
        <f>Results!N85</f>
        <v>#DIV/0!</v>
      </c>
      <c r="M83" s="472" t="e">
        <f>Results!O85</f>
        <v>#DIV/0!</v>
      </c>
      <c r="N83" s="472">
        <f>Results!P85</f>
        <v>0</v>
      </c>
      <c r="O83" s="914"/>
      <c r="P83" s="914"/>
      <c r="Q83" s="914"/>
      <c r="R83" s="914"/>
      <c r="S83" s="914"/>
      <c r="T83" s="914"/>
      <c r="U83" s="914"/>
      <c r="V83" s="914"/>
      <c r="W83" s="914"/>
      <c r="X83" s="914"/>
      <c r="Y83" s="914"/>
      <c r="Z83" s="914"/>
      <c r="AA83" s="914"/>
    </row>
    <row r="84" spans="1:27" s="467" customFormat="1" ht="12.75" x14ac:dyDescent="0.2">
      <c r="A84" s="466"/>
      <c r="H84" s="469"/>
      <c r="I84" s="473"/>
      <c r="J84" s="358" t="s">
        <v>61</v>
      </c>
      <c r="K84" s="1"/>
      <c r="L84" s="474" t="e">
        <f>Results!N86</f>
        <v>#DIV/0!</v>
      </c>
      <c r="M84" s="474" t="e">
        <f>Results!O86</f>
        <v>#DIV/0!</v>
      </c>
      <c r="N84" s="475">
        <f>Results!P86</f>
        <v>0</v>
      </c>
      <c r="O84" s="914"/>
      <c r="P84" s="914"/>
      <c r="Q84" s="914"/>
      <c r="R84" s="914"/>
      <c r="S84" s="914"/>
      <c r="T84" s="914"/>
      <c r="U84" s="914"/>
      <c r="V84" s="914"/>
      <c r="W84" s="914"/>
      <c r="X84" s="914"/>
      <c r="Y84" s="914"/>
      <c r="Z84" s="914"/>
      <c r="AA84" s="914"/>
    </row>
    <row r="85" spans="1:27" s="467" customFormat="1" ht="12.75" x14ac:dyDescent="0.2">
      <c r="A85" s="466"/>
      <c r="H85" s="469"/>
      <c r="I85" s="476"/>
      <c r="J85" s="477" t="s">
        <v>451</v>
      </c>
      <c r="K85" s="478"/>
      <c r="L85" s="479" t="e">
        <f>IF(L84=0,0,(Data!J47-L84))</f>
        <v>#DIV/0!</v>
      </c>
      <c r="M85" s="480" t="e">
        <f>IF(M84=0,0,(Data!J48-M84))</f>
        <v>#DIV/0!</v>
      </c>
      <c r="N85" s="481">
        <f>IF(N84=0,0,(Data!J49-N84))</f>
        <v>0</v>
      </c>
      <c r="O85" s="914"/>
      <c r="P85" s="914"/>
      <c r="Q85" s="914"/>
      <c r="R85" s="914"/>
      <c r="S85" s="914"/>
      <c r="T85" s="914"/>
      <c r="U85" s="914"/>
      <c r="V85" s="914"/>
      <c r="W85" s="914"/>
      <c r="X85" s="914"/>
      <c r="Y85" s="914"/>
      <c r="Z85" s="914"/>
      <c r="AA85" s="914"/>
    </row>
    <row r="86" spans="1:27" s="467" customFormat="1" ht="12.75" x14ac:dyDescent="0.2">
      <c r="A86" s="466"/>
      <c r="H86" s="468"/>
      <c r="I86" s="469"/>
      <c r="J86" s="470" t="s">
        <v>436</v>
      </c>
      <c r="K86" s="471"/>
      <c r="L86" s="482" t="e">
        <f>Results!N88</f>
        <v>#DIV/0!</v>
      </c>
      <c r="M86" s="483" t="e">
        <f>Results!O88</f>
        <v>#DIV/0!</v>
      </c>
      <c r="N86" s="484"/>
      <c r="O86" s="914"/>
      <c r="P86" s="914"/>
      <c r="Q86" s="914"/>
      <c r="R86" s="914"/>
      <c r="S86" s="914"/>
      <c r="T86" s="914"/>
      <c r="U86" s="914"/>
      <c r="V86" s="914"/>
      <c r="W86" s="914"/>
      <c r="X86" s="914"/>
      <c r="Y86" s="914"/>
      <c r="Z86" s="914"/>
      <c r="AA86" s="914"/>
    </row>
    <row r="87" spans="1:27" s="467" customFormat="1" ht="12.75" x14ac:dyDescent="0.2">
      <c r="A87" s="466"/>
      <c r="H87" s="469"/>
      <c r="I87" s="468"/>
      <c r="J87" s="358" t="s">
        <v>61</v>
      </c>
      <c r="K87" s="367"/>
      <c r="L87" s="485" t="e">
        <f>Results!N89</f>
        <v>#DIV/0!</v>
      </c>
      <c r="M87" s="452" t="e">
        <f>Results!O89</f>
        <v>#DIV/0!</v>
      </c>
      <c r="N87" s="484"/>
      <c r="O87" s="914"/>
      <c r="P87" s="914"/>
      <c r="Q87" s="914"/>
      <c r="R87" s="914"/>
      <c r="S87" s="914"/>
      <c r="T87" s="914"/>
      <c r="U87" s="914"/>
      <c r="V87" s="914"/>
      <c r="W87" s="914"/>
      <c r="X87" s="914"/>
      <c r="Y87" s="914"/>
      <c r="Z87" s="914"/>
      <c r="AA87" s="914"/>
    </row>
    <row r="88" spans="1:27" s="467" customFormat="1" ht="12.75" x14ac:dyDescent="0.2">
      <c r="A88" s="466"/>
      <c r="H88" s="469"/>
      <c r="I88" s="486"/>
      <c r="J88" s="477" t="s">
        <v>451</v>
      </c>
      <c r="K88" s="487"/>
      <c r="L88" s="488" t="e">
        <f>IF(L87=0,0,(Data!J47-L87))</f>
        <v>#DIV/0!</v>
      </c>
      <c r="M88" s="489" t="e">
        <f>IF(M87=0,0,(Data!J48-M87))</f>
        <v>#DIV/0!</v>
      </c>
      <c r="N88" s="481"/>
      <c r="O88" s="914"/>
      <c r="P88" s="914"/>
      <c r="Q88" s="914"/>
      <c r="R88" s="914"/>
      <c r="S88" s="914"/>
      <c r="T88" s="914"/>
      <c r="U88" s="914"/>
      <c r="V88" s="914"/>
      <c r="W88" s="914"/>
      <c r="X88" s="914"/>
      <c r="Y88" s="914"/>
      <c r="Z88" s="914"/>
      <c r="AA88" s="914"/>
    </row>
    <row r="89" spans="1:27" ht="12.75" x14ac:dyDescent="0.2">
      <c r="A89" s="455"/>
      <c r="H89" s="1"/>
      <c r="I89" s="357"/>
      <c r="J89" s="358" t="s">
        <v>439</v>
      </c>
      <c r="L89" s="935" t="e">
        <f>SUM(L90/((G11*1000)/C35))</f>
        <v>#DIV/0!</v>
      </c>
      <c r="M89" s="935"/>
      <c r="N89" s="935"/>
      <c r="O89" s="914"/>
      <c r="P89" s="914"/>
      <c r="Q89" s="914"/>
      <c r="R89" s="914"/>
      <c r="S89" s="914"/>
      <c r="T89" s="914"/>
      <c r="U89" s="914"/>
      <c r="V89" s="914"/>
      <c r="W89" s="914"/>
      <c r="X89" s="914"/>
      <c r="Y89" s="914"/>
      <c r="Z89" s="914"/>
      <c r="AA89" s="914"/>
    </row>
    <row r="90" spans="1:27" ht="12.75" x14ac:dyDescent="0.2">
      <c r="A90" s="455"/>
      <c r="H90" s="1"/>
      <c r="I90" s="357"/>
      <c r="J90" s="358" t="s">
        <v>440</v>
      </c>
      <c r="L90" s="919" t="e">
        <f>SUM((L83*G7*C16)+(L86*G7*C19)+(M83*G8*C25)+(M86*G8*C28)+(N83*G9*C34))/C35</f>
        <v>#DIV/0!</v>
      </c>
      <c r="M90" s="919"/>
      <c r="N90" s="919"/>
      <c r="O90" s="914"/>
      <c r="P90" s="914"/>
      <c r="Q90" s="914"/>
      <c r="R90" s="914"/>
      <c r="S90" s="914"/>
      <c r="T90" s="914"/>
      <c r="U90" s="914"/>
      <c r="V90" s="914"/>
      <c r="W90" s="914"/>
      <c r="X90" s="914"/>
      <c r="Y90" s="914"/>
      <c r="Z90" s="914"/>
      <c r="AA90" s="914"/>
    </row>
    <row r="91" spans="1:27" ht="12.75" x14ac:dyDescent="0.2">
      <c r="A91" s="455"/>
      <c r="H91" s="1"/>
      <c r="I91" s="357"/>
      <c r="J91" s="358" t="s">
        <v>441</v>
      </c>
      <c r="L91" s="919" t="e">
        <f>SUM((L85*(C16/C35))+(M85*(C25/C35))+(L88*(C19/C35))+(M88*(C28/C35))+(N85*(C34/C35)))</f>
        <v>#DIV/0!</v>
      </c>
      <c r="M91" s="919"/>
      <c r="N91" s="919"/>
      <c r="O91" s="914"/>
      <c r="P91" s="914"/>
      <c r="Q91" s="914"/>
      <c r="R91" s="914"/>
      <c r="S91" s="914"/>
      <c r="T91" s="914"/>
      <c r="U91" s="914"/>
      <c r="V91" s="914"/>
      <c r="W91" s="914"/>
      <c r="X91" s="914"/>
      <c r="Y91" s="914"/>
      <c r="Z91" s="914"/>
      <c r="AA91" s="914"/>
    </row>
    <row r="92" spans="1:27" ht="12.75" x14ac:dyDescent="0.2">
      <c r="A92" s="455"/>
      <c r="H92" s="1"/>
      <c r="I92" s="362"/>
      <c r="J92" s="363" t="s">
        <v>442</v>
      </c>
      <c r="K92" s="490"/>
      <c r="L92" s="936">
        <f>G11</f>
        <v>0</v>
      </c>
      <c r="M92" s="936"/>
      <c r="N92" s="936"/>
      <c r="O92" s="914"/>
      <c r="P92" s="914"/>
      <c r="Q92" s="914"/>
      <c r="R92" s="914"/>
      <c r="S92" s="914"/>
      <c r="T92" s="914"/>
      <c r="U92" s="914"/>
      <c r="V92" s="914"/>
      <c r="W92" s="914"/>
      <c r="X92" s="914"/>
      <c r="Y92" s="914"/>
      <c r="Z92" s="914"/>
      <c r="AA92" s="914"/>
    </row>
    <row r="93" spans="1:27" ht="15.6" customHeight="1" x14ac:dyDescent="0.2">
      <c r="A93" s="356"/>
      <c r="H93" s="1"/>
      <c r="I93" s="357"/>
      <c r="J93" s="358" t="s">
        <v>443</v>
      </c>
      <c r="L93" s="919" t="e">
        <f>SUM(L92*L89*1000)</f>
        <v>#DIV/0!</v>
      </c>
      <c r="M93" s="919"/>
      <c r="N93" s="919"/>
      <c r="O93" s="914"/>
      <c r="P93" s="914"/>
      <c r="Q93" s="914"/>
      <c r="R93" s="914"/>
      <c r="S93" s="914"/>
      <c r="T93" s="914"/>
      <c r="U93" s="914"/>
      <c r="V93" s="914"/>
      <c r="W93" s="914"/>
      <c r="X93" s="914"/>
      <c r="Y93" s="914"/>
      <c r="Z93" s="914"/>
      <c r="AA93" s="914"/>
    </row>
    <row r="94" spans="1:27" ht="12.75" x14ac:dyDescent="0.2">
      <c r="A94" s="455"/>
      <c r="E94" s="491"/>
      <c r="H94" s="365" t="s">
        <v>445</v>
      </c>
      <c r="I94" s="366">
        <f>Data!E51</f>
        <v>0</v>
      </c>
      <c r="J94" t="s">
        <v>378</v>
      </c>
      <c r="K94" s="427"/>
      <c r="L94" s="926" t="e">
        <f>SUM(L91*C35)</f>
        <v>#DIV/0!</v>
      </c>
      <c r="M94" s="926"/>
      <c r="N94" s="926"/>
      <c r="O94" s="914"/>
      <c r="P94" s="914"/>
      <c r="Q94" s="914"/>
      <c r="R94" s="914"/>
      <c r="S94" s="914"/>
      <c r="T94" s="914"/>
      <c r="U94" s="914"/>
      <c r="V94" s="914"/>
      <c r="W94" s="914"/>
      <c r="X94" s="914"/>
      <c r="Y94" s="914"/>
      <c r="Z94" s="914"/>
      <c r="AA94" s="914"/>
    </row>
    <row r="95" spans="1:27" ht="12.75" customHeight="1" x14ac:dyDescent="0.2">
      <c r="A95" s="927" t="s">
        <v>452</v>
      </c>
      <c r="B95" s="927"/>
      <c r="C95" s="927"/>
      <c r="D95" s="927"/>
      <c r="E95" s="927"/>
      <c r="F95" s="927"/>
      <c r="G95" s="927"/>
      <c r="H95" s="927"/>
      <c r="I95" s="927"/>
      <c r="J95" s="927"/>
      <c r="K95" s="927"/>
      <c r="L95" s="927"/>
      <c r="M95" s="927"/>
      <c r="N95" s="927"/>
      <c r="O95" s="914"/>
      <c r="P95" s="914"/>
      <c r="Q95" s="914"/>
      <c r="R95" s="914"/>
      <c r="S95" s="914"/>
      <c r="T95" s="914"/>
      <c r="U95" s="914"/>
      <c r="V95" s="914"/>
      <c r="W95" s="914"/>
      <c r="X95" s="914"/>
      <c r="Y95" s="914"/>
      <c r="Z95" s="914"/>
      <c r="AA95" s="914"/>
    </row>
    <row r="96" spans="1:27" x14ac:dyDescent="0.2">
      <c r="A96" s="927"/>
      <c r="B96" s="927"/>
      <c r="C96" s="927"/>
      <c r="D96" s="927"/>
      <c r="E96" s="927"/>
      <c r="F96" s="927"/>
      <c r="G96" s="927"/>
      <c r="H96" s="927"/>
      <c r="I96" s="927"/>
      <c r="J96" s="927"/>
      <c r="K96" s="927"/>
      <c r="L96" s="927"/>
      <c r="M96" s="927"/>
      <c r="N96" s="927"/>
      <c r="O96" s="914"/>
      <c r="P96" s="914"/>
      <c r="Q96" s="914"/>
      <c r="R96" s="914"/>
      <c r="S96" s="914"/>
      <c r="T96" s="914"/>
      <c r="U96" s="914"/>
      <c r="V96" s="914"/>
      <c r="W96" s="914"/>
      <c r="X96" s="914"/>
      <c r="Y96" s="914"/>
      <c r="Z96" s="914"/>
      <c r="AA96" s="914"/>
    </row>
    <row r="97" spans="1:27" x14ac:dyDescent="0.2">
      <c r="A97" s="914"/>
      <c r="B97" s="914"/>
      <c r="C97" s="914"/>
      <c r="D97" s="914"/>
      <c r="E97" s="914"/>
      <c r="F97" s="914"/>
      <c r="G97" s="914"/>
      <c r="H97" s="914"/>
      <c r="I97" s="914"/>
      <c r="J97" s="914"/>
      <c r="K97" s="914"/>
      <c r="L97" s="914"/>
      <c r="M97" s="914"/>
      <c r="N97" s="914"/>
      <c r="O97" s="914"/>
      <c r="P97" s="914"/>
      <c r="Q97" s="914"/>
      <c r="R97" s="914"/>
      <c r="S97" s="914"/>
      <c r="T97" s="914"/>
      <c r="U97" s="914"/>
      <c r="V97" s="914"/>
      <c r="W97" s="914"/>
      <c r="X97" s="914"/>
      <c r="Y97" s="914"/>
      <c r="Z97" s="914"/>
      <c r="AA97" s="914"/>
    </row>
    <row r="98" spans="1:27" x14ac:dyDescent="0.2">
      <c r="A98" s="914"/>
      <c r="B98" s="914"/>
      <c r="C98" s="914"/>
      <c r="D98" s="914"/>
      <c r="E98" s="914"/>
      <c r="F98" s="914"/>
      <c r="G98" s="914"/>
      <c r="H98" s="914"/>
      <c r="I98" s="914"/>
      <c r="J98" s="914"/>
      <c r="K98" s="914"/>
      <c r="L98" s="914"/>
      <c r="M98" s="914"/>
      <c r="N98" s="914"/>
      <c r="O98" s="914"/>
      <c r="P98" s="914"/>
      <c r="Q98" s="914"/>
      <c r="R98" s="914"/>
      <c r="S98" s="914"/>
      <c r="T98" s="914"/>
      <c r="U98" s="914"/>
      <c r="V98" s="914"/>
      <c r="W98" s="914"/>
      <c r="X98" s="914"/>
      <c r="Y98" s="914"/>
      <c r="Z98" s="914"/>
      <c r="AA98" s="914"/>
    </row>
    <row r="99" spans="1:27" x14ac:dyDescent="0.2">
      <c r="A99" s="914"/>
      <c r="B99" s="914"/>
      <c r="C99" s="914"/>
      <c r="D99" s="914"/>
      <c r="E99" s="914"/>
      <c r="F99" s="914"/>
      <c r="G99" s="914"/>
      <c r="H99" s="914"/>
      <c r="I99" s="914"/>
      <c r="J99" s="914"/>
      <c r="K99" s="914"/>
      <c r="L99" s="914"/>
      <c r="M99" s="914"/>
      <c r="N99" s="914"/>
      <c r="O99" s="914"/>
      <c r="P99" s="914"/>
      <c r="Q99" s="914"/>
      <c r="R99" s="914"/>
      <c r="S99" s="914"/>
      <c r="T99" s="914"/>
      <c r="U99" s="914"/>
      <c r="V99" s="914"/>
      <c r="W99" s="914"/>
      <c r="X99" s="914"/>
      <c r="Y99" s="914"/>
      <c r="Z99" s="914"/>
      <c r="AA99" s="914"/>
    </row>
    <row r="100" spans="1:27" x14ac:dyDescent="0.2">
      <c r="A100" s="914"/>
      <c r="B100" s="914"/>
      <c r="C100" s="914"/>
      <c r="D100" s="914"/>
      <c r="E100" s="914"/>
      <c r="F100" s="914"/>
      <c r="G100" s="914"/>
      <c r="H100" s="914"/>
      <c r="I100" s="914"/>
      <c r="J100" s="914"/>
      <c r="K100" s="914"/>
      <c r="L100" s="914"/>
      <c r="M100" s="914"/>
      <c r="N100" s="914"/>
      <c r="O100" s="914"/>
      <c r="P100" s="914"/>
      <c r="Q100" s="914"/>
      <c r="R100" s="914"/>
      <c r="S100" s="914"/>
      <c r="T100" s="914"/>
      <c r="U100" s="914"/>
      <c r="V100" s="914"/>
      <c r="W100" s="914"/>
      <c r="X100" s="914"/>
      <c r="Y100" s="914"/>
      <c r="Z100" s="914"/>
      <c r="AA100" s="914"/>
    </row>
    <row r="101" spans="1:27" x14ac:dyDescent="0.2">
      <c r="A101" s="914"/>
      <c r="B101" s="914"/>
      <c r="C101" s="914"/>
      <c r="D101" s="914"/>
      <c r="E101" s="914"/>
      <c r="F101" s="914"/>
      <c r="G101" s="914"/>
      <c r="H101" s="914"/>
      <c r="I101" s="914"/>
      <c r="J101" s="914"/>
      <c r="K101" s="914"/>
      <c r="L101" s="914"/>
      <c r="M101" s="914"/>
      <c r="N101" s="914"/>
      <c r="O101" s="914"/>
      <c r="P101" s="914"/>
      <c r="Q101" s="914"/>
      <c r="R101" s="914"/>
      <c r="S101" s="914"/>
      <c r="T101" s="914"/>
      <c r="U101" s="914"/>
      <c r="V101" s="914"/>
      <c r="W101" s="914"/>
      <c r="X101" s="914"/>
      <c r="Y101" s="914"/>
      <c r="Z101" s="914"/>
      <c r="AA101" s="914"/>
    </row>
    <row r="102" spans="1:27" x14ac:dyDescent="0.2">
      <c r="A102" s="914"/>
      <c r="B102" s="914"/>
      <c r="C102" s="914"/>
      <c r="D102" s="914"/>
      <c r="E102" s="914"/>
      <c r="F102" s="914"/>
      <c r="G102" s="914"/>
      <c r="H102" s="914"/>
      <c r="I102" s="914"/>
      <c r="J102" s="914"/>
      <c r="K102" s="914"/>
      <c r="L102" s="914"/>
      <c r="M102" s="914"/>
      <c r="N102" s="914"/>
      <c r="O102" s="914"/>
      <c r="P102" s="914"/>
      <c r="Q102" s="914"/>
      <c r="R102" s="914"/>
      <c r="S102" s="914"/>
      <c r="T102" s="914"/>
      <c r="U102" s="914"/>
      <c r="V102" s="914"/>
      <c r="W102" s="914"/>
      <c r="X102" s="914"/>
      <c r="Y102" s="914"/>
      <c r="Z102" s="914"/>
      <c r="AA102" s="914"/>
    </row>
    <row r="103" spans="1:27" x14ac:dyDescent="0.2">
      <c r="A103" s="914"/>
      <c r="B103" s="914"/>
      <c r="C103" s="914"/>
      <c r="D103" s="914"/>
      <c r="E103" s="914"/>
      <c r="F103" s="914"/>
      <c r="G103" s="914"/>
      <c r="H103" s="914"/>
      <c r="I103" s="914"/>
      <c r="J103" s="914"/>
      <c r="K103" s="914"/>
      <c r="L103" s="914"/>
      <c r="M103" s="914"/>
      <c r="N103" s="914"/>
      <c r="O103" s="914"/>
      <c r="P103" s="914"/>
      <c r="Q103" s="914"/>
      <c r="R103" s="914"/>
      <c r="S103" s="914"/>
      <c r="T103" s="914"/>
      <c r="U103" s="914"/>
      <c r="V103" s="914"/>
      <c r="W103" s="914"/>
      <c r="X103" s="914"/>
      <c r="Y103" s="914"/>
      <c r="Z103" s="914"/>
      <c r="AA103" s="914"/>
    </row>
    <row r="104" spans="1:27" x14ac:dyDescent="0.2">
      <c r="A104" s="914"/>
      <c r="B104" s="914"/>
      <c r="C104" s="914"/>
      <c r="D104" s="914"/>
      <c r="E104" s="914"/>
      <c r="F104" s="914"/>
      <c r="G104" s="914"/>
      <c r="H104" s="914"/>
      <c r="I104" s="914"/>
      <c r="J104" s="914"/>
      <c r="K104" s="914"/>
      <c r="L104" s="914"/>
      <c r="M104" s="914"/>
      <c r="N104" s="914"/>
      <c r="O104" s="914"/>
      <c r="P104" s="914"/>
      <c r="Q104" s="914"/>
      <c r="R104" s="914"/>
      <c r="S104" s="914"/>
      <c r="T104" s="914"/>
      <c r="U104" s="914"/>
      <c r="V104" s="914"/>
      <c r="W104" s="914"/>
      <c r="X104" s="914"/>
      <c r="Y104" s="914"/>
      <c r="Z104" s="914"/>
      <c r="AA104" s="914"/>
    </row>
    <row r="105" spans="1:27" x14ac:dyDescent="0.2">
      <c r="A105" s="914"/>
      <c r="B105" s="914"/>
      <c r="C105" s="914"/>
      <c r="D105" s="914"/>
      <c r="E105" s="914"/>
      <c r="F105" s="914"/>
      <c r="G105" s="914"/>
      <c r="H105" s="914"/>
      <c r="I105" s="914"/>
      <c r="J105" s="914"/>
      <c r="K105" s="914"/>
      <c r="L105" s="914"/>
      <c r="M105" s="914"/>
      <c r="N105" s="914"/>
      <c r="O105" s="914"/>
      <c r="P105" s="914"/>
      <c r="Q105" s="914"/>
      <c r="R105" s="914"/>
      <c r="S105" s="914"/>
      <c r="T105" s="914"/>
      <c r="U105" s="914"/>
      <c r="V105" s="914"/>
      <c r="W105" s="914"/>
      <c r="X105" s="914"/>
      <c r="Y105" s="914"/>
      <c r="Z105" s="914"/>
      <c r="AA105" s="914"/>
    </row>
    <row r="106" spans="1:27" x14ac:dyDescent="0.2">
      <c r="A106" s="914"/>
      <c r="B106" s="914"/>
      <c r="C106" s="914"/>
      <c r="D106" s="914"/>
      <c r="E106" s="914"/>
      <c r="F106" s="914"/>
      <c r="G106" s="914"/>
      <c r="H106" s="914"/>
      <c r="I106" s="914"/>
      <c r="J106" s="914"/>
      <c r="K106" s="914"/>
      <c r="L106" s="914"/>
      <c r="M106" s="914"/>
      <c r="N106" s="914"/>
      <c r="O106" s="914"/>
      <c r="P106" s="914"/>
      <c r="Q106" s="914"/>
      <c r="R106" s="914"/>
      <c r="S106" s="914"/>
      <c r="T106" s="914"/>
      <c r="U106" s="914"/>
      <c r="V106" s="914"/>
      <c r="W106" s="914"/>
      <c r="X106" s="914"/>
      <c r="Y106" s="914"/>
      <c r="Z106" s="914"/>
      <c r="AA106" s="914"/>
    </row>
    <row r="107" spans="1:27" x14ac:dyDescent="0.2">
      <c r="A107" s="914"/>
      <c r="B107" s="914"/>
      <c r="C107" s="914"/>
      <c r="D107" s="914"/>
      <c r="E107" s="914"/>
      <c r="F107" s="914"/>
      <c r="G107" s="914"/>
      <c r="H107" s="914"/>
      <c r="I107" s="914"/>
      <c r="J107" s="914"/>
      <c r="K107" s="914"/>
      <c r="L107" s="914"/>
      <c r="M107" s="914"/>
      <c r="N107" s="914"/>
      <c r="O107" s="914"/>
      <c r="P107" s="914"/>
      <c r="Q107" s="914"/>
      <c r="R107" s="914"/>
      <c r="S107" s="914"/>
      <c r="T107" s="914"/>
      <c r="U107" s="914"/>
      <c r="V107" s="914"/>
      <c r="W107" s="914"/>
      <c r="X107" s="914"/>
      <c r="Y107" s="914"/>
      <c r="Z107" s="914"/>
      <c r="AA107" s="914"/>
    </row>
    <row r="108" spans="1:27" x14ac:dyDescent="0.2">
      <c r="A108" s="914"/>
      <c r="B108" s="914"/>
      <c r="C108" s="914"/>
      <c r="D108" s="914"/>
      <c r="E108" s="914"/>
      <c r="F108" s="914"/>
      <c r="G108" s="914"/>
      <c r="H108" s="914"/>
      <c r="I108" s="914"/>
      <c r="J108" s="914"/>
      <c r="K108" s="914"/>
      <c r="L108" s="914"/>
      <c r="M108" s="914"/>
      <c r="N108" s="914"/>
      <c r="O108" s="914"/>
      <c r="P108" s="914"/>
      <c r="Q108" s="914"/>
      <c r="R108" s="914"/>
      <c r="S108" s="914"/>
      <c r="T108" s="914"/>
      <c r="U108" s="914"/>
      <c r="V108" s="914"/>
      <c r="W108" s="914"/>
      <c r="X108" s="914"/>
      <c r="Y108" s="914"/>
      <c r="Z108" s="914"/>
      <c r="AA108" s="914"/>
    </row>
    <row r="109" spans="1:27" x14ac:dyDescent="0.2">
      <c r="A109" s="914"/>
      <c r="B109" s="914"/>
      <c r="C109" s="914"/>
      <c r="D109" s="914"/>
      <c r="E109" s="914"/>
      <c r="F109" s="914"/>
      <c r="G109" s="914"/>
      <c r="H109" s="914"/>
      <c r="I109" s="914"/>
      <c r="J109" s="914"/>
      <c r="K109" s="914"/>
      <c r="L109" s="914"/>
      <c r="M109" s="914"/>
      <c r="N109" s="914"/>
      <c r="O109" s="914"/>
      <c r="P109" s="914"/>
      <c r="Q109" s="914"/>
      <c r="R109" s="914"/>
      <c r="S109" s="914"/>
      <c r="T109" s="914"/>
      <c r="U109" s="914"/>
      <c r="V109" s="914"/>
      <c r="W109" s="914"/>
      <c r="X109" s="914"/>
      <c r="Y109" s="914"/>
      <c r="Z109" s="914"/>
      <c r="AA109" s="914"/>
    </row>
    <row r="110" spans="1:27" x14ac:dyDescent="0.2">
      <c r="A110" s="914"/>
      <c r="B110" s="914"/>
      <c r="C110" s="914"/>
      <c r="D110" s="914"/>
      <c r="E110" s="914"/>
      <c r="F110" s="914"/>
      <c r="G110" s="914"/>
      <c r="H110" s="914"/>
      <c r="I110" s="914"/>
      <c r="J110" s="914"/>
      <c r="K110" s="914"/>
      <c r="L110" s="914"/>
      <c r="M110" s="914"/>
      <c r="N110" s="914"/>
      <c r="O110" s="914"/>
      <c r="P110" s="914"/>
      <c r="Q110" s="914"/>
      <c r="R110" s="914"/>
      <c r="S110" s="914"/>
      <c r="T110" s="914"/>
      <c r="U110" s="914"/>
      <c r="V110" s="914"/>
      <c r="W110" s="914"/>
      <c r="X110" s="914"/>
      <c r="Y110" s="914"/>
      <c r="Z110" s="914"/>
      <c r="AA110" s="914"/>
    </row>
    <row r="111" spans="1:27" x14ac:dyDescent="0.2">
      <c r="A111" s="914"/>
      <c r="B111" s="914"/>
      <c r="C111" s="914"/>
      <c r="D111" s="914"/>
      <c r="E111" s="914"/>
      <c r="F111" s="914"/>
      <c r="G111" s="914"/>
      <c r="H111" s="914"/>
      <c r="I111" s="914"/>
      <c r="J111" s="914"/>
      <c r="K111" s="914"/>
      <c r="L111" s="914"/>
      <c r="M111" s="914"/>
      <c r="N111" s="914"/>
      <c r="O111" s="914"/>
      <c r="P111" s="914"/>
      <c r="Q111" s="914"/>
      <c r="R111" s="914"/>
      <c r="S111" s="914"/>
      <c r="T111" s="914"/>
      <c r="U111" s="914"/>
      <c r="V111" s="914"/>
      <c r="W111" s="914"/>
      <c r="X111" s="914"/>
      <c r="Y111" s="914"/>
      <c r="Z111" s="914"/>
      <c r="AA111" s="914"/>
    </row>
    <row r="112" spans="1:27" x14ac:dyDescent="0.2">
      <c r="A112" s="914"/>
      <c r="B112" s="914"/>
      <c r="C112" s="914"/>
      <c r="D112" s="914"/>
      <c r="E112" s="914"/>
      <c r="F112" s="914"/>
      <c r="G112" s="914"/>
      <c r="H112" s="914"/>
      <c r="I112" s="914"/>
      <c r="J112" s="914"/>
      <c r="K112" s="914"/>
      <c r="L112" s="914"/>
      <c r="M112" s="914"/>
      <c r="N112" s="914"/>
      <c r="O112" s="914"/>
      <c r="P112" s="914"/>
      <c r="Q112" s="914"/>
      <c r="R112" s="914"/>
      <c r="S112" s="914"/>
      <c r="T112" s="914"/>
      <c r="U112" s="914"/>
      <c r="V112" s="914"/>
      <c r="W112" s="914"/>
      <c r="X112" s="914"/>
      <c r="Y112" s="914"/>
      <c r="Z112" s="914"/>
      <c r="AA112" s="914"/>
    </row>
    <row r="113" spans="1:27" x14ac:dyDescent="0.2">
      <c r="A113" s="914"/>
      <c r="B113" s="914"/>
      <c r="C113" s="914"/>
      <c r="D113" s="914"/>
      <c r="E113" s="914"/>
      <c r="F113" s="914"/>
      <c r="G113" s="914"/>
      <c r="H113" s="914"/>
      <c r="I113" s="914"/>
      <c r="J113" s="914"/>
      <c r="K113" s="914"/>
      <c r="L113" s="914"/>
      <c r="M113" s="914"/>
      <c r="N113" s="914"/>
      <c r="O113" s="914"/>
      <c r="P113" s="914"/>
      <c r="Q113" s="914"/>
      <c r="R113" s="914"/>
      <c r="S113" s="914"/>
      <c r="T113" s="914"/>
      <c r="U113" s="914"/>
      <c r="V113" s="914"/>
      <c r="W113" s="914"/>
      <c r="X113" s="914"/>
      <c r="Y113" s="914"/>
      <c r="Z113" s="914"/>
      <c r="AA113" s="914"/>
    </row>
    <row r="114" spans="1:27" x14ac:dyDescent="0.2">
      <c r="A114" s="914"/>
      <c r="B114" s="914"/>
      <c r="C114" s="914"/>
      <c r="D114" s="914"/>
      <c r="E114" s="914"/>
      <c r="F114" s="914"/>
      <c r="G114" s="914"/>
      <c r="H114" s="914"/>
      <c r="I114" s="914"/>
      <c r="J114" s="914"/>
      <c r="K114" s="914"/>
      <c r="L114" s="914"/>
      <c r="M114" s="914"/>
      <c r="N114" s="914"/>
      <c r="O114" s="914"/>
      <c r="P114" s="914"/>
      <c r="Q114" s="914"/>
      <c r="R114" s="914"/>
      <c r="S114" s="914"/>
      <c r="T114" s="914"/>
      <c r="U114" s="914"/>
      <c r="V114" s="914"/>
      <c r="W114" s="914"/>
      <c r="X114" s="914"/>
      <c r="Y114" s="914"/>
      <c r="Z114" s="914"/>
      <c r="AA114" s="914"/>
    </row>
    <row r="115" spans="1:27" x14ac:dyDescent="0.2">
      <c r="A115" s="914"/>
      <c r="B115" s="914"/>
      <c r="C115" s="914"/>
      <c r="D115" s="914"/>
      <c r="E115" s="914"/>
      <c r="F115" s="914"/>
      <c r="G115" s="914"/>
      <c r="H115" s="914"/>
      <c r="I115" s="914"/>
      <c r="J115" s="914"/>
      <c r="K115" s="914"/>
      <c r="L115" s="914"/>
      <c r="M115" s="914"/>
      <c r="N115" s="914"/>
      <c r="O115" s="914"/>
      <c r="P115" s="914"/>
      <c r="Q115" s="914"/>
      <c r="R115" s="914"/>
      <c r="S115" s="914"/>
      <c r="T115" s="914"/>
      <c r="U115" s="914"/>
      <c r="V115" s="914"/>
      <c r="W115" s="914"/>
      <c r="X115" s="914"/>
      <c r="Y115" s="914"/>
      <c r="Z115" s="914"/>
      <c r="AA115" s="914"/>
    </row>
    <row r="116" spans="1:27" x14ac:dyDescent="0.2">
      <c r="A116" s="914"/>
      <c r="B116" s="914"/>
      <c r="C116" s="914"/>
      <c r="D116" s="914"/>
      <c r="E116" s="914"/>
      <c r="F116" s="914"/>
      <c r="G116" s="914"/>
      <c r="H116" s="914"/>
      <c r="I116" s="914"/>
      <c r="J116" s="914"/>
      <c r="K116" s="914"/>
      <c r="L116" s="914"/>
      <c r="M116" s="914"/>
      <c r="N116" s="914"/>
      <c r="O116" s="914"/>
      <c r="P116" s="914"/>
      <c r="Q116" s="914"/>
      <c r="R116" s="914"/>
      <c r="S116" s="914"/>
      <c r="T116" s="914"/>
      <c r="U116" s="914"/>
      <c r="V116" s="914"/>
      <c r="W116" s="914"/>
      <c r="X116" s="914"/>
      <c r="Y116" s="914"/>
      <c r="Z116" s="914"/>
      <c r="AA116" s="914"/>
    </row>
    <row r="117" spans="1:27" x14ac:dyDescent="0.2">
      <c r="A117" s="914"/>
      <c r="B117" s="914"/>
      <c r="C117" s="914"/>
      <c r="D117" s="914"/>
      <c r="E117" s="914"/>
      <c r="F117" s="914"/>
      <c r="G117" s="914"/>
      <c r="H117" s="914"/>
      <c r="I117" s="914"/>
      <c r="J117" s="914"/>
      <c r="K117" s="914"/>
      <c r="L117" s="914"/>
      <c r="M117" s="914"/>
      <c r="N117" s="914"/>
      <c r="O117" s="914"/>
      <c r="P117" s="914"/>
      <c r="Q117" s="914"/>
      <c r="R117" s="914"/>
      <c r="S117" s="914"/>
      <c r="T117" s="914"/>
      <c r="U117" s="914"/>
      <c r="V117" s="914"/>
      <c r="W117" s="914"/>
      <c r="X117" s="914"/>
      <c r="Y117" s="914"/>
      <c r="Z117" s="914"/>
      <c r="AA117" s="914"/>
    </row>
    <row r="118" spans="1:27" x14ac:dyDescent="0.2">
      <c r="A118" s="914"/>
      <c r="B118" s="914"/>
      <c r="C118" s="914"/>
      <c r="D118" s="914"/>
      <c r="E118" s="914"/>
      <c r="F118" s="914"/>
      <c r="G118" s="914"/>
      <c r="H118" s="914"/>
      <c r="I118" s="914"/>
      <c r="J118" s="914"/>
      <c r="K118" s="914"/>
      <c r="L118" s="914"/>
      <c r="M118" s="914"/>
      <c r="N118" s="914"/>
      <c r="O118" s="914"/>
      <c r="P118" s="914"/>
      <c r="Q118" s="914"/>
      <c r="R118" s="914"/>
      <c r="S118" s="914"/>
      <c r="T118" s="914"/>
      <c r="U118" s="914"/>
      <c r="V118" s="914"/>
      <c r="W118" s="914"/>
      <c r="X118" s="914"/>
      <c r="Y118" s="914"/>
      <c r="Z118" s="914"/>
      <c r="AA118" s="914"/>
    </row>
    <row r="119" spans="1:27" x14ac:dyDescent="0.2">
      <c r="A119" s="914"/>
      <c r="B119" s="914"/>
      <c r="C119" s="914"/>
      <c r="D119" s="914"/>
      <c r="E119" s="914"/>
      <c r="F119" s="914"/>
      <c r="G119" s="914"/>
      <c r="H119" s="914"/>
      <c r="I119" s="914"/>
      <c r="J119" s="914"/>
      <c r="K119" s="914"/>
      <c r="L119" s="914"/>
      <c r="M119" s="914"/>
      <c r="N119" s="914"/>
      <c r="O119" s="914"/>
      <c r="P119" s="914"/>
      <c r="Q119" s="914"/>
      <c r="R119" s="914"/>
      <c r="S119" s="914"/>
      <c r="T119" s="914"/>
      <c r="U119" s="914"/>
      <c r="V119" s="914"/>
      <c r="W119" s="914"/>
      <c r="X119" s="914"/>
      <c r="Y119" s="914"/>
      <c r="Z119" s="914"/>
      <c r="AA119" s="914"/>
    </row>
    <row r="120" spans="1:27" x14ac:dyDescent="0.2">
      <c r="A120" s="914"/>
      <c r="B120" s="914"/>
      <c r="C120" s="914"/>
      <c r="D120" s="914"/>
      <c r="E120" s="914"/>
      <c r="F120" s="914"/>
      <c r="G120" s="914"/>
      <c r="H120" s="914"/>
      <c r="I120" s="914"/>
      <c r="J120" s="914"/>
      <c r="K120" s="914"/>
      <c r="L120" s="914"/>
      <c r="M120" s="914"/>
      <c r="N120" s="914"/>
      <c r="O120" s="914"/>
      <c r="P120" s="914"/>
      <c r="Q120" s="914"/>
      <c r="R120" s="914"/>
      <c r="S120" s="914"/>
      <c r="T120" s="914"/>
      <c r="U120" s="914"/>
      <c r="V120" s="914"/>
      <c r="W120" s="914"/>
      <c r="X120" s="914"/>
      <c r="Y120" s="914"/>
      <c r="Z120" s="914"/>
      <c r="AA120" s="914"/>
    </row>
    <row r="121" spans="1:27" x14ac:dyDescent="0.2">
      <c r="A121" s="914"/>
      <c r="B121" s="914"/>
      <c r="C121" s="914"/>
      <c r="D121" s="914"/>
      <c r="E121" s="914"/>
      <c r="F121" s="914"/>
      <c r="G121" s="914"/>
      <c r="H121" s="914"/>
      <c r="I121" s="914"/>
      <c r="J121" s="914"/>
      <c r="K121" s="914"/>
      <c r="L121" s="914"/>
      <c r="M121" s="914"/>
      <c r="N121" s="914"/>
      <c r="O121" s="914"/>
      <c r="P121" s="914"/>
      <c r="Q121" s="914"/>
      <c r="R121" s="914"/>
      <c r="S121" s="914"/>
      <c r="T121" s="914"/>
      <c r="U121" s="914"/>
      <c r="V121" s="914"/>
      <c r="W121" s="914"/>
      <c r="X121" s="914"/>
      <c r="Y121" s="914"/>
      <c r="Z121" s="914"/>
      <c r="AA121" s="914"/>
    </row>
    <row r="122" spans="1:27" x14ac:dyDescent="0.2">
      <c r="A122" s="914"/>
      <c r="B122" s="914"/>
      <c r="C122" s="914"/>
      <c r="D122" s="914"/>
      <c r="E122" s="914"/>
      <c r="F122" s="914"/>
      <c r="G122" s="914"/>
      <c r="H122" s="914"/>
      <c r="I122" s="914"/>
      <c r="J122" s="914"/>
      <c r="K122" s="914"/>
      <c r="L122" s="914"/>
      <c r="M122" s="914"/>
      <c r="N122" s="914"/>
      <c r="O122" s="914"/>
      <c r="P122" s="914"/>
      <c r="Q122" s="914"/>
      <c r="R122" s="914"/>
      <c r="S122" s="914"/>
      <c r="T122" s="914"/>
      <c r="U122" s="914"/>
      <c r="V122" s="914"/>
      <c r="W122" s="914"/>
      <c r="X122" s="914"/>
      <c r="Y122" s="914"/>
      <c r="Z122" s="914"/>
      <c r="AA122" s="914"/>
    </row>
    <row r="123" spans="1:27" x14ac:dyDescent="0.2">
      <c r="A123" s="914"/>
      <c r="B123" s="914"/>
      <c r="C123" s="914"/>
      <c r="D123" s="914"/>
      <c r="E123" s="914"/>
      <c r="F123" s="914"/>
      <c r="G123" s="914"/>
      <c r="H123" s="914"/>
      <c r="I123" s="914"/>
      <c r="J123" s="914"/>
      <c r="K123" s="914"/>
      <c r="L123" s="914"/>
      <c r="M123" s="914"/>
      <c r="N123" s="914"/>
      <c r="O123" s="914"/>
      <c r="P123" s="914"/>
      <c r="Q123" s="914"/>
      <c r="R123" s="914"/>
      <c r="S123" s="914"/>
      <c r="T123" s="914"/>
      <c r="U123" s="914"/>
      <c r="V123" s="914"/>
      <c r="W123" s="914"/>
      <c r="X123" s="914"/>
      <c r="Y123" s="914"/>
      <c r="Z123" s="914"/>
      <c r="AA123" s="914"/>
    </row>
    <row r="124" spans="1:27" x14ac:dyDescent="0.2">
      <c r="A124" s="914"/>
      <c r="B124" s="914"/>
      <c r="C124" s="914"/>
      <c r="D124" s="914"/>
      <c r="E124" s="914"/>
      <c r="F124" s="914"/>
      <c r="G124" s="914"/>
      <c r="H124" s="914"/>
      <c r="I124" s="914"/>
      <c r="J124" s="914"/>
      <c r="K124" s="914"/>
      <c r="L124" s="914"/>
      <c r="M124" s="914"/>
      <c r="N124" s="914"/>
      <c r="O124" s="914"/>
      <c r="P124" s="914"/>
      <c r="Q124" s="914"/>
      <c r="R124" s="914"/>
      <c r="S124" s="914"/>
      <c r="T124" s="914"/>
      <c r="U124" s="914"/>
      <c r="V124" s="914"/>
      <c r="W124" s="914"/>
      <c r="X124" s="914"/>
      <c r="Y124" s="914"/>
      <c r="Z124" s="914"/>
      <c r="AA124" s="914"/>
    </row>
    <row r="125" spans="1:27" x14ac:dyDescent="0.2">
      <c r="A125" s="914"/>
      <c r="B125" s="914"/>
      <c r="C125" s="914"/>
      <c r="D125" s="914"/>
      <c r="E125" s="914"/>
      <c r="F125" s="914"/>
      <c r="G125" s="914"/>
      <c r="H125" s="914"/>
      <c r="I125" s="914"/>
      <c r="J125" s="914"/>
      <c r="K125" s="914"/>
      <c r="L125" s="914"/>
      <c r="M125" s="914"/>
      <c r="N125" s="914"/>
      <c r="O125" s="914"/>
      <c r="P125" s="914"/>
      <c r="Q125" s="914"/>
      <c r="R125" s="914"/>
      <c r="S125" s="914"/>
      <c r="T125" s="914"/>
      <c r="U125" s="914"/>
      <c r="V125" s="914"/>
      <c r="W125" s="914"/>
      <c r="X125" s="914"/>
      <c r="Y125" s="914"/>
      <c r="Z125" s="914"/>
      <c r="AA125" s="914"/>
    </row>
    <row r="126" spans="1:27" x14ac:dyDescent="0.2">
      <c r="A126" s="914"/>
      <c r="B126" s="914"/>
      <c r="C126" s="914"/>
      <c r="D126" s="914"/>
      <c r="E126" s="914"/>
      <c r="F126" s="914"/>
      <c r="G126" s="914"/>
      <c r="H126" s="914"/>
      <c r="I126" s="914"/>
      <c r="J126" s="914"/>
      <c r="K126" s="914"/>
      <c r="L126" s="914"/>
      <c r="M126" s="914"/>
      <c r="N126" s="914"/>
      <c r="O126" s="914"/>
      <c r="P126" s="914"/>
      <c r="Q126" s="914"/>
      <c r="R126" s="914"/>
      <c r="S126" s="914"/>
      <c r="T126" s="914"/>
      <c r="U126" s="914"/>
      <c r="V126" s="914"/>
      <c r="W126" s="914"/>
      <c r="X126" s="914"/>
      <c r="Y126" s="914"/>
      <c r="Z126" s="914"/>
      <c r="AA126" s="914"/>
    </row>
    <row r="127" spans="1:27" x14ac:dyDescent="0.2">
      <c r="A127" s="914"/>
      <c r="B127" s="914"/>
      <c r="C127" s="914"/>
      <c r="D127" s="914"/>
      <c r="E127" s="914"/>
      <c r="F127" s="914"/>
      <c r="G127" s="914"/>
      <c r="H127" s="914"/>
      <c r="I127" s="914"/>
      <c r="J127" s="914"/>
      <c r="K127" s="914"/>
      <c r="L127" s="914"/>
      <c r="M127" s="914"/>
      <c r="N127" s="914"/>
      <c r="O127" s="914"/>
      <c r="P127" s="914"/>
      <c r="Q127" s="914"/>
      <c r="R127" s="914"/>
      <c r="S127" s="914"/>
      <c r="T127" s="914"/>
      <c r="U127" s="914"/>
      <c r="V127" s="914"/>
      <c r="W127" s="914"/>
      <c r="X127" s="914"/>
      <c r="Y127" s="914"/>
      <c r="Z127" s="914"/>
      <c r="AA127" s="914"/>
    </row>
    <row r="128" spans="1:27" x14ac:dyDescent="0.2">
      <c r="A128" s="914"/>
      <c r="B128" s="914"/>
      <c r="C128" s="914"/>
      <c r="D128" s="914"/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</row>
    <row r="129" spans="1:27" x14ac:dyDescent="0.2">
      <c r="A129" s="914"/>
      <c r="B129" s="914"/>
      <c r="C129" s="914"/>
      <c r="D129" s="914"/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</row>
    <row r="130" spans="1:27" x14ac:dyDescent="0.2">
      <c r="A130" s="914"/>
      <c r="B130" s="914"/>
      <c r="C130" s="914"/>
      <c r="D130" s="914"/>
      <c r="E130" s="914"/>
      <c r="F130" s="914"/>
      <c r="G130" s="914"/>
      <c r="H130" s="914"/>
      <c r="I130" s="914"/>
      <c r="J130" s="914"/>
      <c r="K130" s="914"/>
      <c r="L130" s="914"/>
      <c r="M130" s="914"/>
      <c r="N130" s="914"/>
      <c r="O130" s="914"/>
      <c r="P130" s="914"/>
      <c r="Q130" s="914"/>
      <c r="R130" s="914"/>
      <c r="S130" s="914"/>
      <c r="T130" s="914"/>
      <c r="U130" s="914"/>
      <c r="V130" s="914"/>
      <c r="W130" s="914"/>
      <c r="X130" s="914"/>
      <c r="Y130" s="914"/>
      <c r="Z130" s="914"/>
      <c r="AA130" s="914"/>
    </row>
    <row r="131" spans="1:27" x14ac:dyDescent="0.2">
      <c r="A131" s="914"/>
      <c r="B131" s="914"/>
      <c r="C131" s="914"/>
      <c r="D131" s="914"/>
      <c r="E131" s="914"/>
      <c r="F131" s="914"/>
      <c r="G131" s="914"/>
      <c r="H131" s="914"/>
      <c r="I131" s="914"/>
      <c r="J131" s="914"/>
      <c r="K131" s="914"/>
      <c r="L131" s="914"/>
      <c r="M131" s="914"/>
      <c r="N131" s="914"/>
      <c r="O131" s="914"/>
      <c r="P131" s="914"/>
      <c r="Q131" s="914"/>
      <c r="R131" s="914"/>
      <c r="S131" s="914"/>
      <c r="T131" s="914"/>
      <c r="U131" s="914"/>
      <c r="V131" s="914"/>
      <c r="W131" s="914"/>
      <c r="X131" s="914"/>
      <c r="Y131" s="914"/>
      <c r="Z131" s="914"/>
      <c r="AA131" s="914"/>
    </row>
    <row r="132" spans="1:27" x14ac:dyDescent="0.2">
      <c r="A132" s="914"/>
      <c r="B132" s="914"/>
      <c r="C132" s="914"/>
      <c r="D132" s="914"/>
      <c r="E132" s="914"/>
      <c r="F132" s="914"/>
      <c r="G132" s="914"/>
      <c r="H132" s="914"/>
      <c r="I132" s="914"/>
      <c r="J132" s="914"/>
      <c r="K132" s="914"/>
      <c r="L132" s="914"/>
      <c r="M132" s="914"/>
      <c r="N132" s="914"/>
      <c r="O132" s="914"/>
      <c r="P132" s="914"/>
      <c r="Q132" s="914"/>
      <c r="R132" s="914"/>
      <c r="S132" s="914"/>
      <c r="T132" s="914"/>
      <c r="U132" s="914"/>
      <c r="V132" s="914"/>
      <c r="W132" s="914"/>
      <c r="X132" s="914"/>
      <c r="Y132" s="914"/>
      <c r="Z132" s="914"/>
      <c r="AA132" s="914"/>
    </row>
    <row r="133" spans="1:27" x14ac:dyDescent="0.2">
      <c r="A133" s="914"/>
      <c r="B133" s="914"/>
      <c r="C133" s="914"/>
      <c r="D133" s="914"/>
      <c r="E133" s="914"/>
      <c r="F133" s="914"/>
      <c r="G133" s="914"/>
      <c r="H133" s="914"/>
      <c r="I133" s="914"/>
      <c r="J133" s="914"/>
      <c r="K133" s="914"/>
      <c r="L133" s="914"/>
      <c r="M133" s="914"/>
      <c r="N133" s="914"/>
      <c r="O133" s="914"/>
      <c r="P133" s="914"/>
      <c r="Q133" s="914"/>
      <c r="R133" s="914"/>
      <c r="S133" s="914"/>
      <c r="T133" s="914"/>
      <c r="U133" s="914"/>
      <c r="V133" s="914"/>
      <c r="W133" s="914"/>
      <c r="X133" s="914"/>
      <c r="Y133" s="914"/>
      <c r="Z133" s="914"/>
      <c r="AA133" s="914"/>
    </row>
    <row r="134" spans="1:27" x14ac:dyDescent="0.2">
      <c r="A134" s="914"/>
      <c r="B134" s="914"/>
      <c r="C134" s="914"/>
      <c r="D134" s="914"/>
      <c r="E134" s="914"/>
      <c r="F134" s="914"/>
      <c r="G134" s="914"/>
      <c r="H134" s="914"/>
      <c r="I134" s="914"/>
      <c r="J134" s="914"/>
      <c r="K134" s="914"/>
      <c r="L134" s="914"/>
      <c r="M134" s="914"/>
      <c r="N134" s="914"/>
      <c r="O134" s="914"/>
      <c r="P134" s="914"/>
      <c r="Q134" s="914"/>
      <c r="R134" s="914"/>
      <c r="S134" s="914"/>
      <c r="T134" s="914"/>
      <c r="U134" s="914"/>
      <c r="V134" s="914"/>
      <c r="W134" s="914"/>
      <c r="X134" s="914"/>
      <c r="Y134" s="914"/>
      <c r="Z134" s="914"/>
      <c r="AA134" s="914"/>
    </row>
    <row r="135" spans="1:27" x14ac:dyDescent="0.2">
      <c r="A135" s="914"/>
      <c r="B135" s="914"/>
      <c r="C135" s="914"/>
      <c r="D135" s="914"/>
      <c r="E135" s="914"/>
      <c r="F135" s="914"/>
      <c r="G135" s="914"/>
      <c r="H135" s="914"/>
      <c r="I135" s="914"/>
      <c r="J135" s="914"/>
      <c r="K135" s="914"/>
      <c r="L135" s="914"/>
      <c r="M135" s="914"/>
      <c r="N135" s="914"/>
      <c r="O135" s="914"/>
      <c r="P135" s="914"/>
      <c r="Q135" s="914"/>
      <c r="R135" s="914"/>
      <c r="S135" s="914"/>
      <c r="T135" s="914"/>
      <c r="U135" s="914"/>
      <c r="V135" s="914"/>
      <c r="W135" s="914"/>
      <c r="X135" s="914"/>
      <c r="Y135" s="914"/>
      <c r="Z135" s="914"/>
      <c r="AA135" s="914"/>
    </row>
    <row r="136" spans="1:27" x14ac:dyDescent="0.2">
      <c r="A136" s="914"/>
      <c r="B136" s="914"/>
      <c r="C136" s="914"/>
      <c r="D136" s="914"/>
      <c r="E136" s="914"/>
      <c r="F136" s="914"/>
      <c r="G136" s="914"/>
      <c r="H136" s="914"/>
      <c r="I136" s="914"/>
      <c r="J136" s="914"/>
      <c r="K136" s="914"/>
      <c r="L136" s="914"/>
      <c r="M136" s="914"/>
      <c r="N136" s="914"/>
      <c r="O136" s="914"/>
      <c r="P136" s="914"/>
      <c r="Q136" s="914"/>
      <c r="R136" s="914"/>
      <c r="S136" s="914"/>
      <c r="T136" s="914"/>
      <c r="U136" s="914"/>
      <c r="V136" s="914"/>
      <c r="W136" s="914"/>
      <c r="X136" s="914"/>
      <c r="Y136" s="914"/>
      <c r="Z136" s="914"/>
      <c r="AA136" s="914"/>
    </row>
    <row r="137" spans="1:27" x14ac:dyDescent="0.2">
      <c r="A137" s="914"/>
      <c r="B137" s="914"/>
      <c r="C137" s="914"/>
      <c r="D137" s="914"/>
      <c r="E137" s="914"/>
      <c r="F137" s="914"/>
      <c r="G137" s="914"/>
      <c r="H137" s="914"/>
      <c r="I137" s="914"/>
      <c r="J137" s="914"/>
      <c r="K137" s="914"/>
      <c r="L137" s="914"/>
      <c r="M137" s="914"/>
      <c r="N137" s="914"/>
      <c r="O137" s="914"/>
      <c r="P137" s="914"/>
      <c r="Q137" s="914"/>
      <c r="R137" s="914"/>
      <c r="S137" s="914"/>
      <c r="T137" s="914"/>
      <c r="U137" s="914"/>
      <c r="V137" s="914"/>
      <c r="W137" s="914"/>
      <c r="X137" s="914"/>
      <c r="Y137" s="914"/>
      <c r="Z137" s="914"/>
      <c r="AA137" s="914"/>
    </row>
    <row r="138" spans="1:27" x14ac:dyDescent="0.2">
      <c r="A138" s="914"/>
      <c r="B138" s="914"/>
      <c r="C138" s="914"/>
      <c r="D138" s="914"/>
      <c r="E138" s="914"/>
      <c r="F138" s="914"/>
      <c r="G138" s="914"/>
      <c r="H138" s="914"/>
      <c r="I138" s="914"/>
      <c r="J138" s="914"/>
      <c r="K138" s="914"/>
      <c r="L138" s="914"/>
      <c r="M138" s="914"/>
      <c r="N138" s="914"/>
      <c r="O138" s="914"/>
      <c r="P138" s="914"/>
      <c r="Q138" s="914"/>
      <c r="R138" s="914"/>
      <c r="S138" s="914"/>
      <c r="T138" s="914"/>
      <c r="U138" s="914"/>
      <c r="V138" s="914"/>
      <c r="W138" s="914"/>
      <c r="X138" s="914"/>
      <c r="Y138" s="914"/>
      <c r="Z138" s="914"/>
      <c r="AA138" s="914"/>
    </row>
    <row r="139" spans="1:27" x14ac:dyDescent="0.2">
      <c r="A139" s="914"/>
      <c r="B139" s="914"/>
      <c r="C139" s="914"/>
      <c r="D139" s="914"/>
      <c r="E139" s="914"/>
      <c r="F139" s="914"/>
      <c r="G139" s="914"/>
      <c r="H139" s="914"/>
      <c r="I139" s="914"/>
      <c r="J139" s="914"/>
      <c r="K139" s="914"/>
      <c r="L139" s="914"/>
      <c r="M139" s="914"/>
      <c r="N139" s="914"/>
      <c r="O139" s="914"/>
      <c r="P139" s="914"/>
      <c r="Q139" s="914"/>
      <c r="R139" s="914"/>
      <c r="S139" s="914"/>
      <c r="T139" s="914"/>
      <c r="U139" s="914"/>
      <c r="V139" s="914"/>
      <c r="W139" s="914"/>
      <c r="X139" s="914"/>
      <c r="Y139" s="914"/>
      <c r="Z139" s="914"/>
      <c r="AA139" s="914"/>
    </row>
    <row r="140" spans="1:27" x14ac:dyDescent="0.2">
      <c r="A140" s="914"/>
      <c r="B140" s="914"/>
      <c r="C140" s="914"/>
      <c r="D140" s="914"/>
      <c r="E140" s="914"/>
      <c r="F140" s="914"/>
      <c r="G140" s="914"/>
      <c r="H140" s="914"/>
      <c r="I140" s="914"/>
      <c r="J140" s="914"/>
      <c r="K140" s="914"/>
      <c r="L140" s="914"/>
      <c r="M140" s="914"/>
      <c r="N140" s="914"/>
      <c r="O140" s="914"/>
      <c r="P140" s="914"/>
      <c r="Q140" s="914"/>
      <c r="R140" s="914"/>
      <c r="S140" s="914"/>
      <c r="T140" s="914"/>
      <c r="U140" s="914"/>
      <c r="V140" s="914"/>
      <c r="W140" s="914"/>
      <c r="X140" s="914"/>
      <c r="Y140" s="914"/>
      <c r="Z140" s="914"/>
      <c r="AA140" s="914"/>
    </row>
    <row r="141" spans="1:27" x14ac:dyDescent="0.2">
      <c r="A141" s="914"/>
      <c r="B141" s="914"/>
      <c r="C141" s="914"/>
      <c r="D141" s="914"/>
      <c r="E141" s="914"/>
      <c r="F141" s="914"/>
      <c r="G141" s="914"/>
      <c r="H141" s="914"/>
      <c r="I141" s="914"/>
      <c r="J141" s="914"/>
      <c r="K141" s="914"/>
      <c r="L141" s="914"/>
      <c r="M141" s="914"/>
      <c r="N141" s="914"/>
      <c r="O141" s="914"/>
      <c r="P141" s="914"/>
      <c r="Q141" s="914"/>
      <c r="R141" s="914"/>
      <c r="S141" s="914"/>
      <c r="T141" s="914"/>
      <c r="U141" s="914"/>
      <c r="V141" s="914"/>
      <c r="W141" s="914"/>
      <c r="X141" s="914"/>
      <c r="Y141" s="914"/>
      <c r="Z141" s="914"/>
      <c r="AA141" s="914"/>
    </row>
    <row r="142" spans="1:27" x14ac:dyDescent="0.2">
      <c r="A142" s="914"/>
      <c r="B142" s="914"/>
      <c r="C142" s="914"/>
      <c r="D142" s="914"/>
      <c r="E142" s="914"/>
      <c r="F142" s="914"/>
      <c r="G142" s="914"/>
      <c r="H142" s="914"/>
      <c r="I142" s="914"/>
      <c r="J142" s="914"/>
      <c r="K142" s="914"/>
      <c r="L142" s="914"/>
      <c r="M142" s="914"/>
      <c r="N142" s="914"/>
      <c r="O142" s="914"/>
      <c r="P142" s="914"/>
      <c r="Q142" s="914"/>
      <c r="R142" s="914"/>
      <c r="S142" s="914"/>
      <c r="T142" s="914"/>
      <c r="U142" s="914"/>
      <c r="V142" s="914"/>
      <c r="W142" s="914"/>
      <c r="X142" s="914"/>
      <c r="Y142" s="914"/>
      <c r="Z142" s="914"/>
      <c r="AA142" s="914"/>
    </row>
    <row r="143" spans="1:27" x14ac:dyDescent="0.2">
      <c r="A143" s="914"/>
      <c r="B143" s="914"/>
      <c r="C143" s="914"/>
      <c r="D143" s="914"/>
      <c r="E143" s="914"/>
      <c r="F143" s="914"/>
      <c r="G143" s="914"/>
      <c r="H143" s="914"/>
      <c r="I143" s="914"/>
      <c r="J143" s="914"/>
      <c r="K143" s="914"/>
      <c r="L143" s="914"/>
      <c r="M143" s="914"/>
      <c r="N143" s="914"/>
      <c r="O143" s="914"/>
      <c r="P143" s="914"/>
      <c r="Q143" s="914"/>
      <c r="R143" s="914"/>
      <c r="S143" s="914"/>
      <c r="T143" s="914"/>
      <c r="U143" s="914"/>
      <c r="V143" s="914"/>
      <c r="W143" s="914"/>
      <c r="X143" s="914"/>
      <c r="Y143" s="914"/>
      <c r="Z143" s="914"/>
      <c r="AA143" s="914"/>
    </row>
    <row r="144" spans="1:27" x14ac:dyDescent="0.2">
      <c r="A144" s="914"/>
      <c r="B144" s="914"/>
      <c r="C144" s="914"/>
      <c r="D144" s="914"/>
      <c r="E144" s="914"/>
      <c r="F144" s="914"/>
      <c r="G144" s="914"/>
      <c r="H144" s="914"/>
      <c r="I144" s="914"/>
      <c r="J144" s="914"/>
      <c r="K144" s="914"/>
      <c r="L144" s="914"/>
      <c r="M144" s="914"/>
      <c r="N144" s="914"/>
      <c r="O144" s="914"/>
      <c r="P144" s="914"/>
      <c r="Q144" s="914"/>
      <c r="R144" s="914"/>
      <c r="S144" s="914"/>
      <c r="T144" s="914"/>
      <c r="U144" s="914"/>
      <c r="V144" s="914"/>
      <c r="W144" s="914"/>
      <c r="X144" s="914"/>
      <c r="Y144" s="914"/>
      <c r="Z144" s="914"/>
      <c r="AA144" s="914"/>
    </row>
    <row r="145" spans="1:27" x14ac:dyDescent="0.2">
      <c r="A145" s="914"/>
      <c r="B145" s="914"/>
      <c r="C145" s="914"/>
      <c r="D145" s="914"/>
      <c r="E145" s="914"/>
      <c r="F145" s="914"/>
      <c r="G145" s="914"/>
      <c r="H145" s="914"/>
      <c r="I145" s="914"/>
      <c r="J145" s="914"/>
      <c r="K145" s="914"/>
      <c r="L145" s="914"/>
      <c r="M145" s="914"/>
      <c r="N145" s="914"/>
      <c r="O145" s="914"/>
      <c r="P145" s="914"/>
      <c r="Q145" s="914"/>
      <c r="R145" s="914"/>
      <c r="S145" s="914"/>
      <c r="T145" s="914"/>
      <c r="U145" s="914"/>
      <c r="V145" s="914"/>
      <c r="W145" s="914"/>
      <c r="X145" s="914"/>
      <c r="Y145" s="914"/>
      <c r="Z145" s="914"/>
      <c r="AA145" s="914"/>
    </row>
    <row r="146" spans="1:27" x14ac:dyDescent="0.2">
      <c r="A146" s="914"/>
      <c r="B146" s="914"/>
      <c r="C146" s="914"/>
      <c r="D146" s="914"/>
      <c r="E146" s="914"/>
      <c r="F146" s="914"/>
      <c r="G146" s="914"/>
      <c r="H146" s="914"/>
      <c r="I146" s="914"/>
      <c r="J146" s="914"/>
      <c r="K146" s="914"/>
      <c r="L146" s="914"/>
      <c r="M146" s="914"/>
      <c r="N146" s="914"/>
      <c r="O146" s="914"/>
      <c r="P146" s="914"/>
      <c r="Q146" s="914"/>
      <c r="R146" s="914"/>
      <c r="S146" s="914"/>
      <c r="T146" s="914"/>
      <c r="U146" s="914"/>
      <c r="V146" s="914"/>
      <c r="W146" s="914"/>
      <c r="X146" s="914"/>
      <c r="Y146" s="914"/>
      <c r="Z146" s="914"/>
      <c r="AA146" s="914"/>
    </row>
    <row r="147" spans="1:27" x14ac:dyDescent="0.2">
      <c r="A147" s="914"/>
      <c r="B147" s="914"/>
      <c r="C147" s="914"/>
      <c r="D147" s="914"/>
      <c r="E147" s="914"/>
      <c r="F147" s="914"/>
      <c r="G147" s="914"/>
      <c r="H147" s="914"/>
      <c r="I147" s="914"/>
      <c r="J147" s="914"/>
      <c r="K147" s="914"/>
      <c r="L147" s="914"/>
      <c r="M147" s="914"/>
      <c r="N147" s="914"/>
      <c r="O147" s="914"/>
      <c r="P147" s="914"/>
      <c r="Q147" s="914"/>
      <c r="R147" s="914"/>
      <c r="S147" s="914"/>
      <c r="T147" s="914"/>
      <c r="U147" s="914"/>
      <c r="V147" s="914"/>
      <c r="W147" s="914"/>
      <c r="X147" s="914"/>
      <c r="Y147" s="914"/>
      <c r="Z147" s="914"/>
      <c r="AA147" s="914"/>
    </row>
    <row r="148" spans="1:27" x14ac:dyDescent="0.2">
      <c r="A148" s="914"/>
      <c r="B148" s="914"/>
      <c r="C148" s="914"/>
      <c r="D148" s="914"/>
      <c r="E148" s="914"/>
      <c r="F148" s="914"/>
      <c r="G148" s="914"/>
      <c r="H148" s="914"/>
      <c r="I148" s="914"/>
      <c r="J148" s="914"/>
      <c r="K148" s="914"/>
      <c r="L148" s="914"/>
      <c r="M148" s="914"/>
      <c r="N148" s="914"/>
      <c r="O148" s="914"/>
      <c r="P148" s="914"/>
      <c r="Q148" s="914"/>
      <c r="R148" s="914"/>
      <c r="S148" s="914"/>
      <c r="T148" s="914"/>
      <c r="U148" s="914"/>
      <c r="V148" s="914"/>
      <c r="W148" s="914"/>
      <c r="X148" s="914"/>
      <c r="Y148" s="914"/>
      <c r="Z148" s="914"/>
      <c r="AA148" s="914"/>
    </row>
    <row r="149" spans="1:27" x14ac:dyDescent="0.2">
      <c r="A149" s="914"/>
      <c r="B149" s="914"/>
      <c r="C149" s="914"/>
      <c r="D149" s="914"/>
      <c r="E149" s="914"/>
      <c r="F149" s="914"/>
      <c r="G149" s="914"/>
      <c r="H149" s="914"/>
      <c r="I149" s="914"/>
      <c r="J149" s="914"/>
      <c r="K149" s="914"/>
      <c r="L149" s="914"/>
      <c r="M149" s="914"/>
      <c r="N149" s="914"/>
      <c r="O149" s="914"/>
      <c r="P149" s="914"/>
      <c r="Q149" s="914"/>
      <c r="R149" s="914"/>
      <c r="S149" s="914"/>
      <c r="T149" s="914"/>
      <c r="U149" s="914"/>
      <c r="V149" s="914"/>
      <c r="W149" s="914"/>
      <c r="X149" s="914"/>
      <c r="Y149" s="914"/>
      <c r="Z149" s="914"/>
      <c r="AA149" s="914"/>
    </row>
    <row r="150" spans="1:27" x14ac:dyDescent="0.2">
      <c r="A150" s="914"/>
      <c r="B150" s="914"/>
      <c r="C150" s="914"/>
      <c r="D150" s="914"/>
      <c r="E150" s="914"/>
      <c r="F150" s="914"/>
      <c r="G150" s="914"/>
      <c r="H150" s="914"/>
      <c r="I150" s="914"/>
      <c r="J150" s="914"/>
      <c r="K150" s="914"/>
      <c r="L150" s="914"/>
      <c r="M150" s="914"/>
      <c r="N150" s="914"/>
      <c r="O150" s="914"/>
      <c r="P150" s="914"/>
      <c r="Q150" s="914"/>
      <c r="R150" s="914"/>
      <c r="S150" s="914"/>
      <c r="T150" s="914"/>
      <c r="U150" s="914"/>
      <c r="V150" s="914"/>
      <c r="W150" s="914"/>
      <c r="X150" s="914"/>
      <c r="Y150" s="914"/>
      <c r="Z150" s="914"/>
      <c r="AA150" s="914"/>
    </row>
    <row r="151" spans="1:27" x14ac:dyDescent="0.2">
      <c r="A151" s="914"/>
      <c r="B151" s="914"/>
      <c r="C151" s="914"/>
      <c r="D151" s="914"/>
      <c r="E151" s="914"/>
      <c r="F151" s="914"/>
      <c r="G151" s="914"/>
      <c r="H151" s="914"/>
      <c r="I151" s="914"/>
      <c r="J151" s="914"/>
      <c r="K151" s="914"/>
      <c r="L151" s="914"/>
      <c r="M151" s="914"/>
      <c r="N151" s="914"/>
      <c r="O151" s="914"/>
      <c r="P151" s="914"/>
      <c r="Q151" s="914"/>
      <c r="R151" s="914"/>
      <c r="S151" s="914"/>
      <c r="T151" s="914"/>
      <c r="U151" s="914"/>
      <c r="V151" s="914"/>
      <c r="W151" s="914"/>
      <c r="X151" s="914"/>
      <c r="Y151" s="914"/>
      <c r="Z151" s="914"/>
      <c r="AA151" s="914"/>
    </row>
    <row r="152" spans="1:27" x14ac:dyDescent="0.2">
      <c r="A152" s="914"/>
      <c r="B152" s="914"/>
      <c r="C152" s="914"/>
      <c r="D152" s="914"/>
      <c r="E152" s="914"/>
      <c r="F152" s="914"/>
      <c r="G152" s="914"/>
      <c r="H152" s="914"/>
      <c r="I152" s="914"/>
      <c r="J152" s="914"/>
      <c r="K152" s="914"/>
      <c r="L152" s="914"/>
      <c r="M152" s="914"/>
      <c r="N152" s="914"/>
      <c r="O152" s="914"/>
      <c r="P152" s="914"/>
      <c r="Q152" s="914"/>
      <c r="R152" s="914"/>
      <c r="S152" s="914"/>
      <c r="T152" s="914"/>
      <c r="U152" s="914"/>
      <c r="V152" s="914"/>
      <c r="W152" s="914"/>
      <c r="X152" s="914"/>
      <c r="Y152" s="914"/>
      <c r="Z152" s="914"/>
      <c r="AA152" s="914"/>
    </row>
    <row r="153" spans="1:27" x14ac:dyDescent="0.2">
      <c r="A153" s="914"/>
      <c r="B153" s="914"/>
      <c r="C153" s="914"/>
      <c r="D153" s="914"/>
      <c r="E153" s="914"/>
      <c r="F153" s="914"/>
      <c r="G153" s="914"/>
      <c r="H153" s="914"/>
      <c r="I153" s="914"/>
      <c r="J153" s="914"/>
      <c r="K153" s="914"/>
      <c r="L153" s="914"/>
      <c r="M153" s="914"/>
      <c r="N153" s="914"/>
      <c r="O153" s="914"/>
      <c r="P153" s="914"/>
      <c r="Q153" s="914"/>
      <c r="R153" s="914"/>
      <c r="S153" s="914"/>
      <c r="T153" s="914"/>
      <c r="U153" s="914"/>
      <c r="V153" s="914"/>
      <c r="W153" s="914"/>
      <c r="X153" s="914"/>
      <c r="Y153" s="914"/>
      <c r="Z153" s="914"/>
      <c r="AA153" s="914"/>
    </row>
    <row r="154" spans="1:27" x14ac:dyDescent="0.2">
      <c r="A154" s="914"/>
      <c r="B154" s="914"/>
      <c r="C154" s="914"/>
      <c r="D154" s="914"/>
      <c r="E154" s="914"/>
      <c r="F154" s="914"/>
      <c r="G154" s="914"/>
      <c r="H154" s="914"/>
      <c r="I154" s="914"/>
      <c r="J154" s="914"/>
      <c r="K154" s="914"/>
      <c r="L154" s="914"/>
      <c r="M154" s="914"/>
      <c r="N154" s="914"/>
      <c r="O154" s="914"/>
      <c r="P154" s="914"/>
      <c r="Q154" s="914"/>
      <c r="R154" s="914"/>
      <c r="S154" s="914"/>
      <c r="T154" s="914"/>
      <c r="U154" s="914"/>
      <c r="V154" s="914"/>
      <c r="W154" s="914"/>
      <c r="X154" s="914"/>
      <c r="Y154" s="914"/>
      <c r="Z154" s="914"/>
      <c r="AA154" s="914"/>
    </row>
    <row r="155" spans="1:27" x14ac:dyDescent="0.2">
      <c r="A155" s="914"/>
      <c r="B155" s="914"/>
      <c r="C155" s="914"/>
      <c r="D155" s="914"/>
      <c r="E155" s="914"/>
      <c r="F155" s="914"/>
      <c r="G155" s="914"/>
      <c r="H155" s="914"/>
      <c r="I155" s="914"/>
      <c r="J155" s="914"/>
      <c r="K155" s="914"/>
      <c r="L155" s="914"/>
      <c r="M155" s="914"/>
      <c r="N155" s="914"/>
      <c r="O155" s="914"/>
      <c r="P155" s="914"/>
      <c r="Q155" s="914"/>
      <c r="R155" s="914"/>
      <c r="S155" s="914"/>
      <c r="T155" s="914"/>
      <c r="U155" s="914"/>
      <c r="V155" s="914"/>
      <c r="W155" s="914"/>
      <c r="X155" s="914"/>
      <c r="Y155" s="914"/>
      <c r="Z155" s="914"/>
      <c r="AA155" s="914"/>
    </row>
    <row r="156" spans="1:27" x14ac:dyDescent="0.2">
      <c r="A156" s="914"/>
      <c r="B156" s="914"/>
      <c r="C156" s="914"/>
      <c r="D156" s="914"/>
      <c r="E156" s="914"/>
      <c r="F156" s="914"/>
      <c r="G156" s="914"/>
      <c r="H156" s="914"/>
      <c r="I156" s="914"/>
      <c r="J156" s="914"/>
      <c r="K156" s="914"/>
      <c r="L156" s="914"/>
      <c r="M156" s="914"/>
      <c r="N156" s="914"/>
      <c r="O156" s="914"/>
      <c r="P156" s="914"/>
      <c r="Q156" s="914"/>
      <c r="R156" s="914"/>
      <c r="S156" s="914"/>
      <c r="T156" s="914"/>
      <c r="U156" s="914"/>
      <c r="V156" s="914"/>
      <c r="W156" s="914"/>
      <c r="X156" s="914"/>
      <c r="Y156" s="914"/>
      <c r="Z156" s="914"/>
      <c r="AA156" s="914"/>
    </row>
    <row r="157" spans="1:27" x14ac:dyDescent="0.2">
      <c r="A157" s="914"/>
      <c r="B157" s="914"/>
      <c r="C157" s="914"/>
      <c r="D157" s="914"/>
      <c r="E157" s="914"/>
      <c r="F157" s="914"/>
      <c r="G157" s="914"/>
      <c r="H157" s="914"/>
      <c r="I157" s="914"/>
      <c r="J157" s="914"/>
      <c r="K157" s="914"/>
      <c r="L157" s="914"/>
      <c r="M157" s="914"/>
      <c r="N157" s="914"/>
      <c r="O157" s="914"/>
      <c r="P157" s="914"/>
      <c r="Q157" s="914"/>
      <c r="R157" s="914"/>
      <c r="S157" s="914"/>
      <c r="T157" s="914"/>
      <c r="U157" s="914"/>
      <c r="V157" s="914"/>
      <c r="W157" s="914"/>
      <c r="X157" s="914"/>
      <c r="Y157" s="914"/>
      <c r="Z157" s="914"/>
      <c r="AA157" s="914"/>
    </row>
    <row r="158" spans="1:27" x14ac:dyDescent="0.2">
      <c r="A158" s="914"/>
      <c r="B158" s="914"/>
      <c r="C158" s="914"/>
      <c r="D158" s="914"/>
      <c r="E158" s="914"/>
      <c r="F158" s="914"/>
      <c r="G158" s="914"/>
      <c r="H158" s="914"/>
      <c r="I158" s="914"/>
      <c r="J158" s="914"/>
      <c r="K158" s="914"/>
      <c r="L158" s="914"/>
      <c r="M158" s="914"/>
      <c r="N158" s="914"/>
      <c r="O158" s="914"/>
      <c r="P158" s="914"/>
      <c r="Q158" s="914"/>
      <c r="R158" s="914"/>
      <c r="S158" s="914"/>
      <c r="T158" s="914"/>
      <c r="U158" s="914"/>
      <c r="V158" s="914"/>
      <c r="W158" s="914"/>
      <c r="X158" s="914"/>
      <c r="Y158" s="914"/>
      <c r="Z158" s="914"/>
      <c r="AA158" s="914"/>
    </row>
    <row r="159" spans="1:27" x14ac:dyDescent="0.2">
      <c r="A159" s="914"/>
      <c r="B159" s="914"/>
      <c r="C159" s="914"/>
      <c r="D159" s="914"/>
      <c r="E159" s="914"/>
      <c r="F159" s="914"/>
      <c r="G159" s="914"/>
      <c r="H159" s="914"/>
      <c r="I159" s="914"/>
      <c r="J159" s="914"/>
      <c r="K159" s="914"/>
      <c r="L159" s="914"/>
      <c r="M159" s="914"/>
      <c r="N159" s="914"/>
      <c r="O159" s="914"/>
      <c r="P159" s="914"/>
      <c r="Q159" s="914"/>
      <c r="R159" s="914"/>
      <c r="S159" s="914"/>
      <c r="T159" s="914"/>
      <c r="U159" s="914"/>
      <c r="V159" s="914"/>
      <c r="W159" s="914"/>
      <c r="X159" s="914"/>
      <c r="Y159" s="914"/>
      <c r="Z159" s="914"/>
      <c r="AA159" s="914"/>
    </row>
    <row r="160" spans="1:27" x14ac:dyDescent="0.2">
      <c r="A160" s="914"/>
      <c r="B160" s="914"/>
      <c r="C160" s="914"/>
      <c r="D160" s="914"/>
      <c r="E160" s="914"/>
      <c r="F160" s="914"/>
      <c r="G160" s="914"/>
      <c r="H160" s="914"/>
      <c r="I160" s="914"/>
      <c r="J160" s="914"/>
      <c r="K160" s="914"/>
      <c r="L160" s="914"/>
      <c r="M160" s="914"/>
      <c r="N160" s="914"/>
      <c r="O160" s="914"/>
      <c r="P160" s="914"/>
      <c r="Q160" s="914"/>
      <c r="R160" s="914"/>
      <c r="S160" s="914"/>
      <c r="T160" s="914"/>
      <c r="U160" s="914"/>
      <c r="V160" s="914"/>
      <c r="W160" s="914"/>
      <c r="X160" s="914"/>
      <c r="Y160" s="914"/>
      <c r="Z160" s="914"/>
      <c r="AA160" s="914"/>
    </row>
    <row r="161" spans="1:27" x14ac:dyDescent="0.2">
      <c r="A161" s="914"/>
      <c r="B161" s="914"/>
      <c r="C161" s="914"/>
      <c r="D161" s="914"/>
      <c r="E161" s="914"/>
      <c r="F161" s="914"/>
      <c r="G161" s="914"/>
      <c r="H161" s="914"/>
      <c r="I161" s="914"/>
      <c r="J161" s="914"/>
      <c r="K161" s="914"/>
      <c r="L161" s="914"/>
      <c r="M161" s="914"/>
      <c r="N161" s="914"/>
      <c r="O161" s="914"/>
      <c r="P161" s="914"/>
      <c r="Q161" s="914"/>
      <c r="R161" s="914"/>
      <c r="S161" s="914"/>
      <c r="T161" s="914"/>
      <c r="U161" s="914"/>
      <c r="V161" s="914"/>
      <c r="W161" s="914"/>
      <c r="X161" s="914"/>
      <c r="Y161" s="914"/>
      <c r="Z161" s="914"/>
      <c r="AA161" s="914"/>
    </row>
    <row r="162" spans="1:27" x14ac:dyDescent="0.2">
      <c r="A162" s="914"/>
      <c r="B162" s="914"/>
      <c r="C162" s="914"/>
      <c r="D162" s="914"/>
      <c r="E162" s="914"/>
      <c r="F162" s="914"/>
      <c r="G162" s="914"/>
      <c r="H162" s="914"/>
      <c r="I162" s="914"/>
      <c r="J162" s="914"/>
      <c r="K162" s="914"/>
      <c r="L162" s="914"/>
      <c r="M162" s="914"/>
      <c r="N162" s="914"/>
      <c r="O162" s="914"/>
      <c r="P162" s="914"/>
      <c r="Q162" s="914"/>
      <c r="R162" s="914"/>
      <c r="S162" s="914"/>
      <c r="T162" s="914"/>
      <c r="U162" s="914"/>
      <c r="V162" s="914"/>
      <c r="W162" s="914"/>
      <c r="X162" s="914"/>
      <c r="Y162" s="914"/>
      <c r="Z162" s="914"/>
      <c r="AA162" s="914"/>
    </row>
    <row r="163" spans="1:27" x14ac:dyDescent="0.2">
      <c r="A163" s="914"/>
      <c r="B163" s="914"/>
      <c r="C163" s="914"/>
      <c r="D163" s="914"/>
      <c r="E163" s="914"/>
      <c r="F163" s="914"/>
      <c r="G163" s="914"/>
      <c r="H163" s="914"/>
      <c r="I163" s="914"/>
      <c r="J163" s="914"/>
      <c r="K163" s="914"/>
      <c r="L163" s="914"/>
      <c r="M163" s="914"/>
      <c r="N163" s="914"/>
      <c r="O163" s="914"/>
      <c r="P163" s="914"/>
      <c r="Q163" s="914"/>
      <c r="R163" s="914"/>
      <c r="S163" s="914"/>
      <c r="T163" s="914"/>
      <c r="U163" s="914"/>
      <c r="V163" s="914"/>
      <c r="W163" s="914"/>
      <c r="X163" s="914"/>
      <c r="Y163" s="914"/>
      <c r="Z163" s="914"/>
      <c r="AA163" s="914"/>
    </row>
    <row r="164" spans="1:27" x14ac:dyDescent="0.2">
      <c r="A164" s="914"/>
      <c r="B164" s="914"/>
      <c r="C164" s="914"/>
      <c r="D164" s="914"/>
      <c r="E164" s="914"/>
      <c r="F164" s="914"/>
      <c r="G164" s="914"/>
      <c r="H164" s="914"/>
      <c r="I164" s="914"/>
      <c r="J164" s="914"/>
      <c r="K164" s="914"/>
      <c r="L164" s="914"/>
      <c r="M164" s="914"/>
      <c r="N164" s="914"/>
      <c r="O164" s="914"/>
      <c r="P164" s="914"/>
      <c r="Q164" s="914"/>
      <c r="R164" s="914"/>
      <c r="S164" s="914"/>
      <c r="T164" s="914"/>
      <c r="U164" s="914"/>
      <c r="V164" s="914"/>
      <c r="W164" s="914"/>
      <c r="X164" s="914"/>
      <c r="Y164" s="914"/>
      <c r="Z164" s="914"/>
      <c r="AA164" s="914"/>
    </row>
    <row r="165" spans="1:27" x14ac:dyDescent="0.2">
      <c r="A165" s="914"/>
      <c r="B165" s="914"/>
      <c r="C165" s="914"/>
      <c r="D165" s="914"/>
      <c r="E165" s="914"/>
      <c r="F165" s="914"/>
      <c r="G165" s="914"/>
      <c r="H165" s="914"/>
      <c r="I165" s="914"/>
      <c r="J165" s="914"/>
      <c r="K165" s="914"/>
      <c r="L165" s="914"/>
      <c r="M165" s="914"/>
      <c r="N165" s="914"/>
      <c r="O165" s="914"/>
      <c r="P165" s="914"/>
      <c r="Q165" s="914"/>
      <c r="R165" s="914"/>
      <c r="S165" s="914"/>
      <c r="T165" s="914"/>
      <c r="U165" s="914"/>
      <c r="V165" s="914"/>
      <c r="W165" s="914"/>
      <c r="X165" s="914"/>
      <c r="Y165" s="914"/>
      <c r="Z165" s="914"/>
      <c r="AA165" s="914"/>
    </row>
    <row r="166" spans="1:27" x14ac:dyDescent="0.2">
      <c r="A166" s="914"/>
      <c r="B166" s="914"/>
      <c r="C166" s="914"/>
      <c r="D166" s="914"/>
      <c r="E166" s="914"/>
      <c r="F166" s="914"/>
      <c r="G166" s="914"/>
      <c r="H166" s="914"/>
      <c r="I166" s="914"/>
      <c r="J166" s="914"/>
      <c r="K166" s="914"/>
      <c r="L166" s="914"/>
      <c r="M166" s="914"/>
      <c r="N166" s="914"/>
      <c r="O166" s="914"/>
      <c r="P166" s="914"/>
      <c r="Q166" s="914"/>
      <c r="R166" s="914"/>
      <c r="S166" s="914"/>
      <c r="T166" s="914"/>
      <c r="U166" s="914"/>
      <c r="V166" s="914"/>
      <c r="W166" s="914"/>
      <c r="X166" s="914"/>
      <c r="Y166" s="914"/>
      <c r="Z166" s="914"/>
      <c r="AA166" s="914"/>
    </row>
    <row r="167" spans="1:27" x14ac:dyDescent="0.2">
      <c r="A167" s="914"/>
      <c r="B167" s="914"/>
      <c r="C167" s="914"/>
      <c r="D167" s="914"/>
      <c r="E167" s="914"/>
      <c r="F167" s="914"/>
      <c r="G167" s="914"/>
      <c r="H167" s="914"/>
      <c r="I167" s="914"/>
      <c r="J167" s="914"/>
      <c r="K167" s="914"/>
      <c r="L167" s="914"/>
      <c r="M167" s="914"/>
      <c r="N167" s="914"/>
      <c r="O167" s="914"/>
      <c r="P167" s="914"/>
      <c r="Q167" s="914"/>
      <c r="R167" s="914"/>
      <c r="S167" s="914"/>
      <c r="T167" s="914"/>
      <c r="U167" s="914"/>
      <c r="V167" s="914"/>
      <c r="W167" s="914"/>
      <c r="X167" s="914"/>
      <c r="Y167" s="914"/>
      <c r="Z167" s="914"/>
      <c r="AA167" s="914"/>
    </row>
    <row r="168" spans="1:27" x14ac:dyDescent="0.2">
      <c r="A168" s="914"/>
      <c r="B168" s="914"/>
      <c r="C168" s="914"/>
      <c r="D168" s="914"/>
      <c r="E168" s="914"/>
      <c r="F168" s="914"/>
      <c r="G168" s="914"/>
      <c r="H168" s="914"/>
      <c r="I168" s="914"/>
      <c r="J168" s="914"/>
      <c r="K168" s="914"/>
      <c r="L168" s="914"/>
      <c r="M168" s="914"/>
      <c r="N168" s="914"/>
      <c r="O168" s="914"/>
      <c r="P168" s="914"/>
      <c r="Q168" s="914"/>
      <c r="R168" s="914"/>
      <c r="S168" s="914"/>
      <c r="T168" s="914"/>
      <c r="U168" s="914"/>
      <c r="V168" s="914"/>
      <c r="W168" s="914"/>
      <c r="X168" s="914"/>
      <c r="Y168" s="914"/>
      <c r="Z168" s="914"/>
      <c r="AA168" s="914"/>
    </row>
    <row r="169" spans="1:27" x14ac:dyDescent="0.2">
      <c r="A169" s="914"/>
      <c r="B169" s="914"/>
      <c r="C169" s="914"/>
      <c r="D169" s="914"/>
      <c r="E169" s="914"/>
      <c r="F169" s="914"/>
      <c r="G169" s="914"/>
      <c r="H169" s="914"/>
      <c r="I169" s="914"/>
      <c r="J169" s="914"/>
      <c r="K169" s="914"/>
      <c r="L169" s="914"/>
      <c r="M169" s="914"/>
      <c r="N169" s="914"/>
      <c r="O169" s="914"/>
      <c r="P169" s="914"/>
      <c r="Q169" s="914"/>
      <c r="R169" s="914"/>
      <c r="S169" s="914"/>
      <c r="T169" s="914"/>
      <c r="U169" s="914"/>
      <c r="V169" s="914"/>
      <c r="W169" s="914"/>
      <c r="X169" s="914"/>
      <c r="Y169" s="914"/>
      <c r="Z169" s="914"/>
      <c r="AA169" s="914"/>
    </row>
    <row r="170" spans="1:27" x14ac:dyDescent="0.2">
      <c r="A170" s="914"/>
      <c r="B170" s="914"/>
      <c r="C170" s="914"/>
      <c r="D170" s="914"/>
      <c r="E170" s="914"/>
      <c r="F170" s="914"/>
      <c r="G170" s="914"/>
      <c r="H170" s="914"/>
      <c r="I170" s="914"/>
      <c r="J170" s="914"/>
      <c r="K170" s="914"/>
      <c r="L170" s="914"/>
      <c r="M170" s="914"/>
      <c r="N170" s="914"/>
      <c r="O170" s="914"/>
      <c r="P170" s="914"/>
      <c r="Q170" s="914"/>
      <c r="R170" s="914"/>
      <c r="S170" s="914"/>
      <c r="T170" s="914"/>
      <c r="U170" s="914"/>
      <c r="V170" s="914"/>
      <c r="W170" s="914"/>
      <c r="X170" s="914"/>
      <c r="Y170" s="914"/>
      <c r="Z170" s="914"/>
      <c r="AA170" s="914"/>
    </row>
    <row r="171" spans="1:27" x14ac:dyDescent="0.2">
      <c r="A171" s="914"/>
      <c r="B171" s="914"/>
      <c r="C171" s="914"/>
      <c r="D171" s="914"/>
      <c r="E171" s="914"/>
      <c r="F171" s="914"/>
      <c r="G171" s="914"/>
      <c r="H171" s="914"/>
      <c r="I171" s="914"/>
      <c r="J171" s="914"/>
      <c r="K171" s="914"/>
      <c r="L171" s="914"/>
      <c r="M171" s="914"/>
      <c r="N171" s="914"/>
      <c r="O171" s="914"/>
      <c r="P171" s="914"/>
      <c r="Q171" s="914"/>
      <c r="R171" s="914"/>
      <c r="S171" s="914"/>
      <c r="T171" s="914"/>
      <c r="U171" s="914"/>
      <c r="V171" s="914"/>
      <c r="W171" s="914"/>
      <c r="X171" s="914"/>
      <c r="Y171" s="914"/>
      <c r="Z171" s="914"/>
      <c r="AA171" s="914"/>
    </row>
    <row r="172" spans="1:27" x14ac:dyDescent="0.2">
      <c r="A172" s="914"/>
      <c r="B172" s="914"/>
      <c r="C172" s="914"/>
      <c r="D172" s="914"/>
      <c r="E172" s="914"/>
      <c r="F172" s="914"/>
      <c r="G172" s="914"/>
      <c r="H172" s="914"/>
      <c r="I172" s="914"/>
      <c r="J172" s="914"/>
      <c r="K172" s="914"/>
      <c r="L172" s="914"/>
      <c r="M172" s="914"/>
      <c r="N172" s="914"/>
      <c r="O172" s="914"/>
      <c r="P172" s="914"/>
      <c r="Q172" s="914"/>
      <c r="R172" s="914"/>
      <c r="S172" s="914"/>
      <c r="T172" s="914"/>
      <c r="U172" s="914"/>
      <c r="V172" s="914"/>
      <c r="W172" s="914"/>
      <c r="X172" s="914"/>
      <c r="Y172" s="914"/>
      <c r="Z172" s="914"/>
      <c r="AA172" s="914"/>
    </row>
    <row r="173" spans="1:27" x14ac:dyDescent="0.2">
      <c r="A173" s="914"/>
      <c r="B173" s="914"/>
      <c r="C173" s="914"/>
      <c r="D173" s="914"/>
      <c r="E173" s="914"/>
      <c r="F173" s="914"/>
      <c r="G173" s="914"/>
      <c r="H173" s="914"/>
      <c r="I173" s="914"/>
      <c r="J173" s="914"/>
      <c r="K173" s="914"/>
      <c r="L173" s="914"/>
      <c r="M173" s="914"/>
      <c r="N173" s="914"/>
      <c r="O173" s="914"/>
      <c r="P173" s="914"/>
      <c r="Q173" s="914"/>
      <c r="R173" s="914"/>
      <c r="S173" s="914"/>
      <c r="T173" s="914"/>
      <c r="U173" s="914"/>
      <c r="V173" s="914"/>
      <c r="W173" s="914"/>
      <c r="X173" s="914"/>
      <c r="Y173" s="914"/>
      <c r="Z173" s="914"/>
      <c r="AA173" s="914"/>
    </row>
    <row r="174" spans="1:27" x14ac:dyDescent="0.2">
      <c r="A174" s="914"/>
      <c r="B174" s="914"/>
      <c r="C174" s="914"/>
      <c r="D174" s="914"/>
      <c r="E174" s="914"/>
      <c r="F174" s="914"/>
      <c r="G174" s="914"/>
      <c r="H174" s="914"/>
      <c r="I174" s="914"/>
      <c r="J174" s="914"/>
      <c r="K174" s="914"/>
      <c r="L174" s="914"/>
      <c r="M174" s="914"/>
      <c r="N174" s="914"/>
      <c r="O174" s="914"/>
      <c r="P174" s="914"/>
      <c r="Q174" s="914"/>
      <c r="R174" s="914"/>
      <c r="S174" s="914"/>
      <c r="T174" s="914"/>
      <c r="U174" s="914"/>
      <c r="V174" s="914"/>
      <c r="W174" s="914"/>
      <c r="X174" s="914"/>
      <c r="Y174" s="914"/>
      <c r="Z174" s="914"/>
      <c r="AA174" s="914"/>
    </row>
    <row r="175" spans="1:27" x14ac:dyDescent="0.2">
      <c r="A175" s="914"/>
      <c r="B175" s="914"/>
      <c r="C175" s="914"/>
      <c r="D175" s="914"/>
      <c r="E175" s="914"/>
      <c r="F175" s="914"/>
      <c r="G175" s="914"/>
      <c r="H175" s="914"/>
      <c r="I175" s="914"/>
      <c r="J175" s="914"/>
      <c r="K175" s="914"/>
      <c r="L175" s="914"/>
      <c r="M175" s="914"/>
      <c r="N175" s="914"/>
      <c r="O175" s="914"/>
      <c r="P175" s="914"/>
      <c r="Q175" s="914"/>
      <c r="R175" s="914"/>
      <c r="S175" s="914"/>
      <c r="T175" s="914"/>
      <c r="U175" s="914"/>
      <c r="V175" s="914"/>
      <c r="W175" s="914"/>
      <c r="X175" s="914"/>
      <c r="Y175" s="914"/>
      <c r="Z175" s="914"/>
      <c r="AA175" s="914"/>
    </row>
    <row r="176" spans="1:27" x14ac:dyDescent="0.2">
      <c r="A176" s="914"/>
      <c r="B176" s="914"/>
      <c r="C176" s="914"/>
      <c r="D176" s="914"/>
      <c r="E176" s="914"/>
      <c r="F176" s="914"/>
      <c r="G176" s="914"/>
      <c r="H176" s="914"/>
      <c r="I176" s="914"/>
      <c r="J176" s="914"/>
      <c r="K176" s="914"/>
      <c r="L176" s="914"/>
      <c r="M176" s="914"/>
      <c r="N176" s="914"/>
      <c r="O176" s="914"/>
      <c r="P176" s="914"/>
      <c r="Q176" s="914"/>
      <c r="R176" s="914"/>
      <c r="S176" s="914"/>
      <c r="T176" s="914"/>
      <c r="U176" s="914"/>
      <c r="V176" s="914"/>
      <c r="W176" s="914"/>
      <c r="X176" s="914"/>
      <c r="Y176" s="914"/>
      <c r="Z176" s="914"/>
      <c r="AA176" s="914"/>
    </row>
    <row r="177" spans="1:27" x14ac:dyDescent="0.2">
      <c r="A177" s="914"/>
      <c r="B177" s="914"/>
      <c r="C177" s="914"/>
      <c r="D177" s="914"/>
      <c r="E177" s="914"/>
      <c r="F177" s="914"/>
      <c r="G177" s="914"/>
      <c r="H177" s="914"/>
      <c r="I177" s="914"/>
      <c r="J177" s="914"/>
      <c r="K177" s="914"/>
      <c r="L177" s="914"/>
      <c r="M177" s="914"/>
      <c r="N177" s="914"/>
      <c r="O177" s="914"/>
      <c r="P177" s="914"/>
      <c r="Q177" s="914"/>
      <c r="R177" s="914"/>
      <c r="S177" s="914"/>
      <c r="T177" s="914"/>
      <c r="U177" s="914"/>
      <c r="V177" s="914"/>
      <c r="W177" s="914"/>
      <c r="X177" s="914"/>
      <c r="Y177" s="914"/>
      <c r="Z177" s="914"/>
      <c r="AA177" s="914"/>
    </row>
    <row r="178" spans="1:27" x14ac:dyDescent="0.2">
      <c r="A178" s="914"/>
      <c r="B178" s="914"/>
      <c r="C178" s="914"/>
      <c r="D178" s="914"/>
      <c r="E178" s="914"/>
      <c r="F178" s="914"/>
      <c r="G178" s="914"/>
      <c r="H178" s="914"/>
      <c r="I178" s="914"/>
      <c r="J178" s="914"/>
      <c r="K178" s="914"/>
      <c r="L178" s="914"/>
      <c r="M178" s="914"/>
      <c r="N178" s="914"/>
      <c r="O178" s="914"/>
      <c r="P178" s="914"/>
      <c r="Q178" s="914"/>
      <c r="R178" s="914"/>
      <c r="S178" s="914"/>
      <c r="T178" s="914"/>
      <c r="U178" s="914"/>
      <c r="V178" s="914"/>
      <c r="W178" s="914"/>
      <c r="X178" s="914"/>
      <c r="Y178" s="914"/>
      <c r="Z178" s="914"/>
      <c r="AA178" s="914"/>
    </row>
    <row r="179" spans="1:27" x14ac:dyDescent="0.2">
      <c r="A179" s="914"/>
      <c r="B179" s="914"/>
      <c r="C179" s="914"/>
      <c r="D179" s="914"/>
      <c r="E179" s="914"/>
      <c r="F179" s="914"/>
      <c r="G179" s="914"/>
      <c r="H179" s="914"/>
      <c r="I179" s="914"/>
      <c r="J179" s="914"/>
      <c r="K179" s="914"/>
      <c r="L179" s="914"/>
      <c r="M179" s="914"/>
      <c r="N179" s="914"/>
      <c r="O179" s="914"/>
      <c r="P179" s="914"/>
      <c r="Q179" s="914"/>
      <c r="R179" s="914"/>
      <c r="S179" s="914"/>
      <c r="T179" s="914"/>
      <c r="U179" s="914"/>
      <c r="V179" s="914"/>
      <c r="W179" s="914"/>
      <c r="X179" s="914"/>
      <c r="Y179" s="914"/>
      <c r="Z179" s="914"/>
      <c r="AA179" s="914"/>
    </row>
    <row r="180" spans="1:27" x14ac:dyDescent="0.2">
      <c r="A180" s="914"/>
      <c r="B180" s="914"/>
      <c r="C180" s="914"/>
      <c r="D180" s="914"/>
      <c r="E180" s="914"/>
      <c r="F180" s="914"/>
      <c r="G180" s="914"/>
      <c r="H180" s="914"/>
      <c r="I180" s="914"/>
      <c r="J180" s="914"/>
      <c r="K180" s="914"/>
      <c r="L180" s="914"/>
      <c r="M180" s="914"/>
      <c r="N180" s="914"/>
      <c r="O180" s="914"/>
      <c r="P180" s="914"/>
      <c r="Q180" s="914"/>
      <c r="R180" s="914"/>
      <c r="S180" s="914"/>
      <c r="T180" s="914"/>
      <c r="U180" s="914"/>
      <c r="V180" s="914"/>
      <c r="W180" s="914"/>
      <c r="X180" s="914"/>
      <c r="Y180" s="914"/>
      <c r="Z180" s="914"/>
      <c r="AA180" s="914"/>
    </row>
    <row r="181" spans="1:27" x14ac:dyDescent="0.2">
      <c r="A181" s="914"/>
      <c r="B181" s="914"/>
      <c r="C181" s="914"/>
      <c r="D181" s="914"/>
      <c r="E181" s="914"/>
      <c r="F181" s="914"/>
      <c r="G181" s="914"/>
      <c r="H181" s="914"/>
      <c r="I181" s="914"/>
      <c r="J181" s="914"/>
      <c r="K181" s="914"/>
      <c r="L181" s="914"/>
      <c r="M181" s="914"/>
      <c r="N181" s="914"/>
      <c r="O181" s="914"/>
      <c r="P181" s="914"/>
      <c r="Q181" s="914"/>
      <c r="R181" s="914"/>
      <c r="S181" s="914"/>
      <c r="T181" s="914"/>
      <c r="U181" s="914"/>
      <c r="V181" s="914"/>
      <c r="W181" s="914"/>
      <c r="X181" s="914"/>
      <c r="Y181" s="914"/>
      <c r="Z181" s="914"/>
      <c r="AA181" s="914"/>
    </row>
    <row r="182" spans="1:27" x14ac:dyDescent="0.2">
      <c r="A182" s="914"/>
      <c r="B182" s="914"/>
      <c r="C182" s="914"/>
      <c r="D182" s="914"/>
      <c r="E182" s="914"/>
      <c r="F182" s="914"/>
      <c r="G182" s="914"/>
      <c r="H182" s="914"/>
      <c r="I182" s="914"/>
      <c r="J182" s="914"/>
      <c r="K182" s="914"/>
      <c r="L182" s="914"/>
      <c r="M182" s="914"/>
      <c r="N182" s="914"/>
      <c r="O182" s="914"/>
      <c r="P182" s="914"/>
      <c r="Q182" s="914"/>
      <c r="R182" s="914"/>
      <c r="S182" s="914"/>
      <c r="T182" s="914"/>
      <c r="U182" s="914"/>
      <c r="V182" s="914"/>
      <c r="W182" s="914"/>
      <c r="X182" s="914"/>
      <c r="Y182" s="914"/>
      <c r="Z182" s="914"/>
      <c r="AA182" s="914"/>
    </row>
    <row r="183" spans="1:27" x14ac:dyDescent="0.2">
      <c r="A183" s="914"/>
      <c r="B183" s="914"/>
      <c r="C183" s="914"/>
      <c r="D183" s="914"/>
      <c r="E183" s="914"/>
      <c r="F183" s="914"/>
      <c r="G183" s="914"/>
      <c r="H183" s="914"/>
      <c r="I183" s="914"/>
      <c r="J183" s="914"/>
      <c r="K183" s="914"/>
      <c r="L183" s="914"/>
      <c r="M183" s="914"/>
      <c r="N183" s="914"/>
      <c r="O183" s="914"/>
      <c r="P183" s="914"/>
      <c r="Q183" s="914"/>
      <c r="R183" s="914"/>
      <c r="S183" s="914"/>
      <c r="T183" s="914"/>
      <c r="U183" s="914"/>
      <c r="V183" s="914"/>
      <c r="W183" s="914"/>
      <c r="X183" s="914"/>
      <c r="Y183" s="914"/>
      <c r="Z183" s="914"/>
      <c r="AA183" s="914"/>
    </row>
    <row r="184" spans="1:27" x14ac:dyDescent="0.2">
      <c r="A184" s="914"/>
      <c r="B184" s="914"/>
      <c r="C184" s="914"/>
      <c r="D184" s="914"/>
      <c r="E184" s="914"/>
      <c r="F184" s="914"/>
      <c r="G184" s="914"/>
      <c r="H184" s="914"/>
      <c r="I184" s="914"/>
      <c r="J184" s="914"/>
      <c r="K184" s="914"/>
      <c r="L184" s="914"/>
      <c r="M184" s="914"/>
      <c r="N184" s="914"/>
      <c r="O184" s="914"/>
      <c r="P184" s="914"/>
      <c r="Q184" s="914"/>
      <c r="R184" s="914"/>
      <c r="S184" s="914"/>
      <c r="T184" s="914"/>
      <c r="U184" s="914"/>
      <c r="V184" s="914"/>
      <c r="W184" s="914"/>
      <c r="X184" s="914"/>
      <c r="Y184" s="914"/>
      <c r="Z184" s="914"/>
      <c r="AA184" s="914"/>
    </row>
    <row r="185" spans="1:27" x14ac:dyDescent="0.2">
      <c r="A185" s="914"/>
      <c r="B185" s="914"/>
      <c r="C185" s="914"/>
      <c r="D185" s="914"/>
      <c r="E185" s="914"/>
      <c r="F185" s="914"/>
      <c r="G185" s="914"/>
      <c r="H185" s="914"/>
      <c r="I185" s="914"/>
      <c r="J185" s="914"/>
      <c r="K185" s="914"/>
      <c r="L185" s="914"/>
      <c r="M185" s="914"/>
      <c r="N185" s="914"/>
      <c r="O185" s="914"/>
      <c r="P185" s="914"/>
      <c r="Q185" s="914"/>
      <c r="R185" s="914"/>
      <c r="S185" s="914"/>
      <c r="T185" s="914"/>
      <c r="U185" s="914"/>
      <c r="V185" s="914"/>
      <c r="W185" s="914"/>
      <c r="X185" s="914"/>
      <c r="Y185" s="914"/>
      <c r="Z185" s="914"/>
      <c r="AA185" s="914"/>
    </row>
    <row r="186" spans="1:27" x14ac:dyDescent="0.2">
      <c r="A186" s="914"/>
      <c r="B186" s="914"/>
      <c r="C186" s="914"/>
      <c r="D186" s="914"/>
      <c r="E186" s="914"/>
      <c r="F186" s="914"/>
      <c r="G186" s="914"/>
      <c r="H186" s="914"/>
      <c r="I186" s="914"/>
      <c r="J186" s="914"/>
      <c r="K186" s="914"/>
      <c r="L186" s="914"/>
      <c r="M186" s="914"/>
      <c r="N186" s="914"/>
      <c r="O186" s="914"/>
      <c r="P186" s="914"/>
      <c r="Q186" s="914"/>
      <c r="R186" s="914"/>
      <c r="S186" s="914"/>
      <c r="T186" s="914"/>
      <c r="U186" s="914"/>
      <c r="V186" s="914"/>
      <c r="W186" s="914"/>
      <c r="X186" s="914"/>
      <c r="Y186" s="914"/>
      <c r="Z186" s="914"/>
      <c r="AA186" s="914"/>
    </row>
    <row r="187" spans="1:27" x14ac:dyDescent="0.2">
      <c r="A187" s="914"/>
      <c r="B187" s="914"/>
      <c r="C187" s="914"/>
      <c r="D187" s="914"/>
      <c r="E187" s="914"/>
      <c r="F187" s="914"/>
      <c r="G187" s="914"/>
      <c r="H187" s="914"/>
      <c r="I187" s="914"/>
      <c r="J187" s="914"/>
      <c r="K187" s="914"/>
      <c r="L187" s="914"/>
      <c r="M187" s="914"/>
      <c r="N187" s="914"/>
      <c r="O187" s="914"/>
      <c r="P187" s="914"/>
      <c r="Q187" s="914"/>
      <c r="R187" s="914"/>
      <c r="S187" s="914"/>
      <c r="T187" s="914"/>
      <c r="U187" s="914"/>
      <c r="V187" s="914"/>
      <c r="W187" s="914"/>
      <c r="X187" s="914"/>
      <c r="Y187" s="914"/>
      <c r="Z187" s="914"/>
      <c r="AA187" s="914"/>
    </row>
    <row r="188" spans="1:27" x14ac:dyDescent="0.2">
      <c r="A188" s="914"/>
      <c r="B188" s="914"/>
      <c r="C188" s="914"/>
      <c r="D188" s="914"/>
      <c r="E188" s="914"/>
      <c r="F188" s="914"/>
      <c r="G188" s="914"/>
      <c r="H188" s="914"/>
      <c r="I188" s="914"/>
      <c r="J188" s="914"/>
      <c r="K188" s="914"/>
      <c r="L188" s="914"/>
      <c r="M188" s="914"/>
      <c r="N188" s="914"/>
      <c r="O188" s="914"/>
      <c r="P188" s="914"/>
      <c r="Q188" s="914"/>
      <c r="R188" s="914"/>
      <c r="S188" s="914"/>
      <c r="T188" s="914"/>
      <c r="U188" s="914"/>
      <c r="V188" s="914"/>
      <c r="W188" s="914"/>
      <c r="X188" s="914"/>
      <c r="Y188" s="914"/>
      <c r="Z188" s="914"/>
      <c r="AA188" s="914"/>
    </row>
    <row r="189" spans="1:27" x14ac:dyDescent="0.2">
      <c r="A189" s="914"/>
      <c r="B189" s="914"/>
      <c r="C189" s="914"/>
      <c r="D189" s="914"/>
      <c r="E189" s="914"/>
      <c r="F189" s="914"/>
      <c r="G189" s="914"/>
      <c r="H189" s="914"/>
      <c r="I189" s="914"/>
      <c r="J189" s="914"/>
      <c r="K189" s="914"/>
      <c r="L189" s="914"/>
      <c r="M189" s="914"/>
      <c r="N189" s="914"/>
      <c r="O189" s="914"/>
      <c r="P189" s="914"/>
      <c r="Q189" s="914"/>
      <c r="R189" s="914"/>
      <c r="S189" s="914"/>
      <c r="T189" s="914"/>
      <c r="U189" s="914"/>
      <c r="V189" s="914"/>
      <c r="W189" s="914"/>
      <c r="X189" s="914"/>
      <c r="Y189" s="914"/>
      <c r="Z189" s="914"/>
      <c r="AA189" s="914"/>
    </row>
    <row r="190" spans="1:27" x14ac:dyDescent="0.2">
      <c r="A190" s="914"/>
      <c r="B190" s="914"/>
      <c r="C190" s="914"/>
      <c r="D190" s="914"/>
      <c r="E190" s="914"/>
      <c r="F190" s="914"/>
      <c r="G190" s="914"/>
      <c r="H190" s="914"/>
      <c r="I190" s="914"/>
      <c r="J190" s="914"/>
      <c r="K190" s="914"/>
      <c r="L190" s="914"/>
      <c r="M190" s="914"/>
      <c r="N190" s="914"/>
      <c r="O190" s="914"/>
      <c r="P190" s="914"/>
      <c r="Q190" s="914"/>
      <c r="R190" s="914"/>
      <c r="S190" s="914"/>
      <c r="T190" s="914"/>
      <c r="U190" s="914"/>
      <c r="V190" s="914"/>
      <c r="W190" s="914"/>
      <c r="X190" s="914"/>
      <c r="Y190" s="914"/>
      <c r="Z190" s="914"/>
      <c r="AA190" s="914"/>
    </row>
    <row r="191" spans="1:27" x14ac:dyDescent="0.2">
      <c r="A191" s="914"/>
      <c r="B191" s="914"/>
      <c r="C191" s="914"/>
      <c r="D191" s="914"/>
      <c r="E191" s="914"/>
      <c r="F191" s="914"/>
      <c r="G191" s="914"/>
      <c r="H191" s="914"/>
      <c r="I191" s="914"/>
      <c r="J191" s="914"/>
      <c r="K191" s="914"/>
      <c r="L191" s="914"/>
      <c r="M191" s="914"/>
      <c r="N191" s="914"/>
      <c r="O191" s="914"/>
      <c r="P191" s="914"/>
      <c r="Q191" s="914"/>
      <c r="R191" s="914"/>
      <c r="S191" s="914"/>
      <c r="T191" s="914"/>
      <c r="U191" s="914"/>
      <c r="V191" s="914"/>
      <c r="W191" s="914"/>
      <c r="X191" s="914"/>
      <c r="Y191" s="914"/>
      <c r="Z191" s="914"/>
      <c r="AA191" s="914"/>
    </row>
    <row r="192" spans="1:27" x14ac:dyDescent="0.2">
      <c r="A192" s="914"/>
      <c r="B192" s="914"/>
      <c r="C192" s="914"/>
      <c r="D192" s="914"/>
      <c r="E192" s="914"/>
      <c r="F192" s="914"/>
      <c r="G192" s="914"/>
      <c r="H192" s="914"/>
      <c r="I192" s="914"/>
      <c r="J192" s="914"/>
      <c r="K192" s="914"/>
      <c r="L192" s="914"/>
      <c r="M192" s="914"/>
      <c r="N192" s="914"/>
      <c r="O192" s="914"/>
      <c r="P192" s="914"/>
      <c r="Q192" s="914"/>
      <c r="R192" s="914"/>
      <c r="S192" s="914"/>
      <c r="T192" s="914"/>
      <c r="U192" s="914"/>
      <c r="V192" s="914"/>
      <c r="W192" s="914"/>
      <c r="X192" s="914"/>
      <c r="Y192" s="914"/>
      <c r="Z192" s="914"/>
      <c r="AA192" s="914"/>
    </row>
    <row r="193" spans="1:27" x14ac:dyDescent="0.2">
      <c r="A193" s="914"/>
      <c r="B193" s="914"/>
      <c r="C193" s="914"/>
      <c r="D193" s="914"/>
      <c r="E193" s="914"/>
      <c r="F193" s="914"/>
      <c r="G193" s="914"/>
      <c r="H193" s="914"/>
      <c r="I193" s="914"/>
      <c r="J193" s="914"/>
      <c r="K193" s="914"/>
      <c r="L193" s="914"/>
      <c r="M193" s="914"/>
      <c r="N193" s="914"/>
      <c r="O193" s="914"/>
      <c r="P193" s="914"/>
      <c r="Q193" s="914"/>
      <c r="R193" s="914"/>
      <c r="S193" s="914"/>
      <c r="T193" s="914"/>
      <c r="U193" s="914"/>
      <c r="V193" s="914"/>
      <c r="W193" s="914"/>
      <c r="X193" s="914"/>
      <c r="Y193" s="914"/>
      <c r="Z193" s="914"/>
      <c r="AA193" s="914"/>
    </row>
    <row r="194" spans="1:27" x14ac:dyDescent="0.2">
      <c r="A194" s="914"/>
      <c r="B194" s="914"/>
      <c r="C194" s="914"/>
      <c r="D194" s="914"/>
      <c r="E194" s="914"/>
      <c r="F194" s="914"/>
      <c r="G194" s="914"/>
      <c r="H194" s="914"/>
      <c r="I194" s="914"/>
      <c r="J194" s="914"/>
      <c r="K194" s="914"/>
      <c r="L194" s="914"/>
      <c r="M194" s="914"/>
      <c r="N194" s="914"/>
      <c r="O194" s="914"/>
      <c r="P194" s="914"/>
      <c r="Q194" s="914"/>
      <c r="R194" s="914"/>
      <c r="S194" s="914"/>
      <c r="T194" s="914"/>
      <c r="U194" s="914"/>
      <c r="V194" s="914"/>
      <c r="W194" s="914"/>
      <c r="X194" s="914"/>
      <c r="Y194" s="914"/>
      <c r="Z194" s="914"/>
      <c r="AA194" s="914"/>
    </row>
    <row r="195" spans="1:27" x14ac:dyDescent="0.2">
      <c r="A195" s="914"/>
      <c r="B195" s="914"/>
      <c r="C195" s="914"/>
      <c r="D195" s="914"/>
      <c r="E195" s="914"/>
      <c r="F195" s="914"/>
      <c r="G195" s="914"/>
      <c r="H195" s="914"/>
      <c r="I195" s="914"/>
      <c r="J195" s="914"/>
      <c r="K195" s="914"/>
      <c r="L195" s="914"/>
      <c r="M195" s="914"/>
      <c r="N195" s="914"/>
      <c r="O195" s="914"/>
      <c r="P195" s="914"/>
      <c r="Q195" s="914"/>
      <c r="R195" s="914"/>
      <c r="S195" s="914"/>
      <c r="T195" s="914"/>
      <c r="U195" s="914"/>
      <c r="V195" s="914"/>
      <c r="W195" s="914"/>
      <c r="X195" s="914"/>
      <c r="Y195" s="914"/>
      <c r="Z195" s="914"/>
      <c r="AA195" s="914"/>
    </row>
    <row r="196" spans="1:27" x14ac:dyDescent="0.2">
      <c r="A196" s="914"/>
      <c r="B196" s="914"/>
      <c r="C196" s="914"/>
      <c r="D196" s="914"/>
      <c r="E196" s="914"/>
      <c r="F196" s="914"/>
      <c r="G196" s="914"/>
      <c r="H196" s="914"/>
      <c r="I196" s="914"/>
      <c r="J196" s="914"/>
      <c r="K196" s="914"/>
      <c r="L196" s="914"/>
      <c r="M196" s="914"/>
      <c r="N196" s="914"/>
      <c r="O196" s="914"/>
      <c r="P196" s="914"/>
      <c r="Q196" s="914"/>
      <c r="R196" s="914"/>
      <c r="S196" s="914"/>
      <c r="T196" s="914"/>
      <c r="U196" s="914"/>
      <c r="V196" s="914"/>
      <c r="W196" s="914"/>
      <c r="X196" s="914"/>
      <c r="Y196" s="914"/>
      <c r="Z196" s="914"/>
      <c r="AA196" s="914"/>
    </row>
    <row r="197" spans="1:27" x14ac:dyDescent="0.2">
      <c r="A197" s="914"/>
      <c r="B197" s="914"/>
      <c r="C197" s="914"/>
      <c r="D197" s="914"/>
      <c r="E197" s="914"/>
      <c r="F197" s="914"/>
      <c r="G197" s="914"/>
      <c r="H197" s="914"/>
      <c r="I197" s="914"/>
      <c r="J197" s="914"/>
      <c r="K197" s="914"/>
      <c r="L197" s="914"/>
      <c r="M197" s="914"/>
      <c r="N197" s="914"/>
      <c r="O197" s="914"/>
      <c r="P197" s="914"/>
      <c r="Q197" s="914"/>
      <c r="R197" s="914"/>
      <c r="S197" s="914"/>
      <c r="T197" s="914"/>
      <c r="U197" s="914"/>
      <c r="V197" s="914"/>
      <c r="W197" s="914"/>
      <c r="X197" s="914"/>
      <c r="Y197" s="914"/>
      <c r="Z197" s="914"/>
      <c r="AA197" s="914"/>
    </row>
    <row r="198" spans="1:27" x14ac:dyDescent="0.2">
      <c r="A198" s="914"/>
      <c r="B198" s="914"/>
      <c r="C198" s="914"/>
      <c r="D198" s="914"/>
      <c r="E198" s="914"/>
      <c r="F198" s="914"/>
      <c r="G198" s="914"/>
      <c r="H198" s="914"/>
      <c r="I198" s="914"/>
      <c r="J198" s="914"/>
      <c r="K198" s="914"/>
      <c r="L198" s="914"/>
      <c r="M198" s="914"/>
      <c r="N198" s="914"/>
      <c r="O198" s="914"/>
      <c r="P198" s="914"/>
      <c r="Q198" s="914"/>
      <c r="R198" s="914"/>
      <c r="S198" s="914"/>
      <c r="T198" s="914"/>
      <c r="U198" s="914"/>
      <c r="V198" s="914"/>
      <c r="W198" s="914"/>
      <c r="X198" s="914"/>
      <c r="Y198" s="914"/>
      <c r="Z198" s="914"/>
      <c r="AA198" s="914"/>
    </row>
    <row r="199" spans="1:27" x14ac:dyDescent="0.2">
      <c r="A199" s="914"/>
      <c r="B199" s="914"/>
      <c r="C199" s="914"/>
      <c r="D199" s="914"/>
      <c r="E199" s="914"/>
      <c r="F199" s="914"/>
      <c r="G199" s="914"/>
      <c r="H199" s="914"/>
      <c r="I199" s="914"/>
      <c r="J199" s="914"/>
      <c r="K199" s="914"/>
      <c r="L199" s="914"/>
      <c r="M199" s="914"/>
      <c r="N199" s="914"/>
      <c r="O199" s="914"/>
      <c r="P199" s="914"/>
      <c r="Q199" s="914"/>
      <c r="R199" s="914"/>
      <c r="S199" s="914"/>
      <c r="T199" s="914"/>
      <c r="U199" s="914"/>
      <c r="V199" s="914"/>
      <c r="W199" s="914"/>
      <c r="X199" s="914"/>
      <c r="Y199" s="914"/>
      <c r="Z199" s="914"/>
      <c r="AA199" s="914"/>
    </row>
    <row r="200" spans="1:27" x14ac:dyDescent="0.2">
      <c r="A200" s="914"/>
      <c r="B200" s="914"/>
      <c r="C200" s="914"/>
      <c r="D200" s="914"/>
      <c r="E200" s="914"/>
      <c r="F200" s="914"/>
      <c r="G200" s="914"/>
      <c r="H200" s="914"/>
      <c r="I200" s="914"/>
      <c r="J200" s="914"/>
      <c r="K200" s="914"/>
      <c r="L200" s="914"/>
      <c r="M200" s="914"/>
      <c r="N200" s="914"/>
      <c r="O200" s="914"/>
      <c r="P200" s="914"/>
      <c r="Q200" s="914"/>
      <c r="R200" s="914"/>
      <c r="S200" s="914"/>
      <c r="T200" s="914"/>
      <c r="U200" s="914"/>
      <c r="V200" s="914"/>
      <c r="W200" s="914"/>
      <c r="X200" s="914"/>
      <c r="Y200" s="914"/>
      <c r="Z200" s="914"/>
      <c r="AA200" s="914"/>
    </row>
    <row r="201" spans="1:27" x14ac:dyDescent="0.2">
      <c r="A201" s="914"/>
      <c r="B201" s="914"/>
      <c r="C201" s="914"/>
      <c r="D201" s="914"/>
      <c r="E201" s="914"/>
      <c r="F201" s="914"/>
      <c r="G201" s="914"/>
      <c r="H201" s="914"/>
      <c r="I201" s="914"/>
      <c r="J201" s="914"/>
      <c r="K201" s="914"/>
      <c r="L201" s="914"/>
      <c r="M201" s="914"/>
      <c r="N201" s="914"/>
      <c r="O201" s="914"/>
      <c r="P201" s="914"/>
      <c r="Q201" s="914"/>
      <c r="R201" s="914"/>
      <c r="S201" s="914"/>
      <c r="T201" s="914"/>
      <c r="U201" s="914"/>
      <c r="V201" s="914"/>
      <c r="W201" s="914"/>
      <c r="X201" s="914"/>
      <c r="Y201" s="914"/>
      <c r="Z201" s="914"/>
      <c r="AA201" s="914"/>
    </row>
    <row r="202" spans="1:27" x14ac:dyDescent="0.2">
      <c r="A202" s="914"/>
      <c r="B202" s="914"/>
      <c r="C202" s="914"/>
      <c r="D202" s="914"/>
      <c r="E202" s="914"/>
      <c r="F202" s="914"/>
      <c r="G202" s="914"/>
      <c r="H202" s="914"/>
      <c r="I202" s="914"/>
      <c r="J202" s="914"/>
      <c r="K202" s="914"/>
      <c r="L202" s="914"/>
      <c r="M202" s="914"/>
      <c r="N202" s="914"/>
      <c r="O202" s="914"/>
      <c r="P202" s="914"/>
      <c r="Q202" s="914"/>
      <c r="R202" s="914"/>
      <c r="S202" s="914"/>
      <c r="T202" s="914"/>
      <c r="U202" s="914"/>
      <c r="V202" s="914"/>
      <c r="W202" s="914"/>
      <c r="X202" s="914"/>
      <c r="Y202" s="914"/>
      <c r="Z202" s="914"/>
      <c r="AA202" s="914"/>
    </row>
    <row r="203" spans="1:27" x14ac:dyDescent="0.2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914"/>
      <c r="O203" s="914"/>
      <c r="P203" s="914"/>
      <c r="Q203" s="914"/>
      <c r="R203" s="914"/>
      <c r="S203" s="914"/>
      <c r="T203" s="914"/>
      <c r="U203" s="914"/>
      <c r="V203" s="914"/>
      <c r="W203" s="914"/>
      <c r="X203" s="914"/>
      <c r="Y203" s="914"/>
      <c r="Z203" s="914"/>
      <c r="AA203" s="914"/>
    </row>
    <row r="204" spans="1:27" x14ac:dyDescent="0.2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914"/>
      <c r="O204" s="914"/>
      <c r="P204" s="914"/>
      <c r="Q204" s="914"/>
      <c r="R204" s="914"/>
      <c r="S204" s="914"/>
      <c r="T204" s="914"/>
      <c r="U204" s="914"/>
      <c r="V204" s="914"/>
      <c r="W204" s="914"/>
      <c r="X204" s="914"/>
      <c r="Y204" s="914"/>
      <c r="Z204" s="914"/>
      <c r="AA204" s="914"/>
    </row>
    <row r="205" spans="1:27" x14ac:dyDescent="0.2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914"/>
      <c r="O205" s="914"/>
      <c r="P205" s="914"/>
      <c r="Q205" s="914"/>
      <c r="R205" s="914"/>
      <c r="S205" s="914"/>
      <c r="T205" s="914"/>
      <c r="U205" s="914"/>
      <c r="V205" s="914"/>
      <c r="W205" s="914"/>
      <c r="X205" s="914"/>
      <c r="Y205" s="914"/>
      <c r="Z205" s="914"/>
      <c r="AA205" s="914"/>
    </row>
    <row r="206" spans="1:27" x14ac:dyDescent="0.2">
      <c r="A206" s="914"/>
      <c r="B206" s="914"/>
      <c r="C206" s="914"/>
      <c r="D206" s="914"/>
      <c r="E206" s="914"/>
      <c r="F206" s="914"/>
      <c r="G206" s="914"/>
      <c r="H206" s="914"/>
      <c r="I206" s="914"/>
      <c r="J206" s="914"/>
      <c r="K206" s="914"/>
      <c r="L206" s="914"/>
      <c r="M206" s="914"/>
      <c r="N206" s="914"/>
      <c r="O206" s="914"/>
      <c r="P206" s="914"/>
      <c r="Q206" s="914"/>
      <c r="R206" s="914"/>
      <c r="S206" s="914"/>
      <c r="T206" s="914"/>
      <c r="U206" s="914"/>
      <c r="V206" s="914"/>
      <c r="W206" s="914"/>
      <c r="X206" s="914"/>
      <c r="Y206" s="914"/>
      <c r="Z206" s="914"/>
      <c r="AA206" s="914"/>
    </row>
    <row r="207" spans="1:27" x14ac:dyDescent="0.2">
      <c r="A207" s="914"/>
      <c r="B207" s="914"/>
      <c r="C207" s="914"/>
      <c r="D207" s="914"/>
      <c r="E207" s="914"/>
      <c r="F207" s="914"/>
      <c r="G207" s="914"/>
      <c r="H207" s="914"/>
      <c r="I207" s="914"/>
      <c r="J207" s="914"/>
      <c r="K207" s="914"/>
      <c r="L207" s="914"/>
      <c r="M207" s="914"/>
      <c r="N207" s="914"/>
      <c r="O207" s="914"/>
      <c r="P207" s="914"/>
      <c r="Q207" s="914"/>
      <c r="R207" s="914"/>
      <c r="S207" s="914"/>
      <c r="T207" s="914"/>
      <c r="U207" s="914"/>
      <c r="V207" s="914"/>
      <c r="W207" s="914"/>
      <c r="X207" s="914"/>
      <c r="Y207" s="914"/>
      <c r="Z207" s="914"/>
      <c r="AA207" s="914"/>
    </row>
    <row r="208" spans="1:27" x14ac:dyDescent="0.2">
      <c r="A208" s="914"/>
      <c r="B208" s="914"/>
      <c r="C208" s="914"/>
      <c r="D208" s="914"/>
      <c r="E208" s="914"/>
      <c r="F208" s="914"/>
      <c r="G208" s="914"/>
      <c r="H208" s="914"/>
      <c r="I208" s="914"/>
      <c r="J208" s="914"/>
      <c r="K208" s="914"/>
      <c r="L208" s="914"/>
      <c r="M208" s="914"/>
      <c r="N208" s="914"/>
      <c r="O208" s="914"/>
      <c r="P208" s="914"/>
      <c r="Q208" s="914"/>
      <c r="R208" s="914"/>
      <c r="S208" s="914"/>
      <c r="T208" s="914"/>
      <c r="U208" s="914"/>
      <c r="V208" s="914"/>
      <c r="W208" s="914"/>
      <c r="X208" s="914"/>
      <c r="Y208" s="914"/>
      <c r="Z208" s="914"/>
      <c r="AA208" s="914"/>
    </row>
    <row r="209" spans="1:27" x14ac:dyDescent="0.2">
      <c r="A209" s="914"/>
      <c r="B209" s="914"/>
      <c r="C209" s="914"/>
      <c r="D209" s="914"/>
      <c r="E209" s="914"/>
      <c r="F209" s="914"/>
      <c r="G209" s="914"/>
      <c r="H209" s="914"/>
      <c r="I209" s="914"/>
      <c r="J209" s="914"/>
      <c r="K209" s="914"/>
      <c r="L209" s="914"/>
      <c r="M209" s="914"/>
      <c r="N209" s="914"/>
      <c r="O209" s="914"/>
      <c r="P209" s="914"/>
      <c r="Q209" s="914"/>
      <c r="R209" s="914"/>
      <c r="S209" s="914"/>
      <c r="T209" s="914"/>
      <c r="U209" s="914"/>
      <c r="V209" s="914"/>
      <c r="W209" s="914"/>
      <c r="X209" s="914"/>
      <c r="Y209" s="914"/>
      <c r="Z209" s="914"/>
      <c r="AA209" s="914"/>
    </row>
    <row r="210" spans="1:27" x14ac:dyDescent="0.2">
      <c r="A210" s="914"/>
      <c r="B210" s="914"/>
      <c r="C210" s="914"/>
      <c r="D210" s="914"/>
      <c r="E210" s="914"/>
      <c r="F210" s="914"/>
      <c r="G210" s="914"/>
      <c r="H210" s="914"/>
      <c r="I210" s="914"/>
      <c r="J210" s="914"/>
      <c r="K210" s="914"/>
      <c r="L210" s="914"/>
      <c r="M210" s="914"/>
      <c r="N210" s="914"/>
      <c r="O210" s="914"/>
      <c r="P210" s="914"/>
      <c r="Q210" s="914"/>
      <c r="R210" s="914"/>
      <c r="S210" s="914"/>
      <c r="T210" s="914"/>
      <c r="U210" s="914"/>
      <c r="V210" s="914"/>
      <c r="W210" s="914"/>
      <c r="X210" s="914"/>
      <c r="Y210" s="914"/>
      <c r="Z210" s="914"/>
      <c r="AA210" s="914"/>
    </row>
    <row r="211" spans="1:27" x14ac:dyDescent="0.2">
      <c r="A211" s="914"/>
      <c r="B211" s="914"/>
      <c r="C211" s="914"/>
      <c r="D211" s="914"/>
      <c r="E211" s="914"/>
      <c r="F211" s="914"/>
      <c r="G211" s="914"/>
      <c r="H211" s="914"/>
      <c r="I211" s="914"/>
      <c r="J211" s="914"/>
      <c r="K211" s="914"/>
      <c r="L211" s="914"/>
      <c r="M211" s="914"/>
      <c r="N211" s="914"/>
      <c r="O211" s="914"/>
      <c r="P211" s="914"/>
      <c r="Q211" s="914"/>
      <c r="R211" s="914"/>
      <c r="S211" s="914"/>
      <c r="T211" s="914"/>
      <c r="U211" s="914"/>
      <c r="V211" s="914"/>
      <c r="W211" s="914"/>
      <c r="X211" s="914"/>
      <c r="Y211" s="914"/>
      <c r="Z211" s="914"/>
      <c r="AA211" s="914"/>
    </row>
    <row r="212" spans="1:27" x14ac:dyDescent="0.2">
      <c r="A212" s="914"/>
      <c r="B212" s="914"/>
      <c r="C212" s="914"/>
      <c r="D212" s="914"/>
      <c r="E212" s="914"/>
      <c r="F212" s="914"/>
      <c r="G212" s="914"/>
      <c r="H212" s="914"/>
      <c r="I212" s="914"/>
      <c r="J212" s="914"/>
      <c r="K212" s="914"/>
      <c r="L212" s="914"/>
      <c r="M212" s="914"/>
      <c r="N212" s="914"/>
      <c r="O212" s="914"/>
      <c r="P212" s="914"/>
      <c r="Q212" s="914"/>
      <c r="R212" s="914"/>
      <c r="S212" s="914"/>
      <c r="T212" s="914"/>
      <c r="U212" s="914"/>
      <c r="V212" s="914"/>
      <c r="W212" s="914"/>
      <c r="X212" s="914"/>
      <c r="Y212" s="914"/>
      <c r="Z212" s="914"/>
      <c r="AA212" s="914"/>
    </row>
    <row r="213" spans="1:27" x14ac:dyDescent="0.2">
      <c r="A213" s="914"/>
      <c r="B213" s="914"/>
      <c r="C213" s="914"/>
      <c r="D213" s="914"/>
      <c r="E213" s="914"/>
      <c r="F213" s="914"/>
      <c r="G213" s="914"/>
      <c r="H213" s="914"/>
      <c r="I213" s="914"/>
      <c r="J213" s="914"/>
      <c r="K213" s="914"/>
      <c r="L213" s="914"/>
      <c r="M213" s="914"/>
      <c r="N213" s="914"/>
      <c r="O213" s="914"/>
      <c r="P213" s="914"/>
      <c r="Q213" s="914"/>
      <c r="R213" s="914"/>
      <c r="S213" s="914"/>
      <c r="T213" s="914"/>
      <c r="U213" s="914"/>
      <c r="V213" s="914"/>
      <c r="W213" s="914"/>
      <c r="X213" s="914"/>
      <c r="Y213" s="914"/>
      <c r="Z213" s="914"/>
      <c r="AA213" s="914"/>
    </row>
    <row r="214" spans="1:27" x14ac:dyDescent="0.2">
      <c r="A214" s="914"/>
      <c r="B214" s="914"/>
      <c r="C214" s="914"/>
      <c r="D214" s="914"/>
      <c r="E214" s="914"/>
      <c r="F214" s="914"/>
      <c r="G214" s="914"/>
      <c r="H214" s="914"/>
      <c r="I214" s="914"/>
      <c r="J214" s="914"/>
      <c r="K214" s="914"/>
      <c r="L214" s="914"/>
      <c r="M214" s="914"/>
      <c r="N214" s="914"/>
      <c r="O214" s="914"/>
      <c r="P214" s="914"/>
      <c r="Q214" s="914"/>
      <c r="R214" s="914"/>
      <c r="S214" s="914"/>
      <c r="T214" s="914"/>
      <c r="U214" s="914"/>
      <c r="V214" s="914"/>
      <c r="W214" s="914"/>
      <c r="X214" s="914"/>
      <c r="Y214" s="914"/>
      <c r="Z214" s="914"/>
      <c r="AA214" s="914"/>
    </row>
    <row r="215" spans="1:27" x14ac:dyDescent="0.2">
      <c r="A215" s="914"/>
      <c r="B215" s="914"/>
      <c r="C215" s="914"/>
      <c r="D215" s="914"/>
      <c r="E215" s="914"/>
      <c r="F215" s="914"/>
      <c r="G215" s="914"/>
      <c r="H215" s="914"/>
      <c r="I215" s="914"/>
      <c r="J215" s="914"/>
      <c r="K215" s="914"/>
      <c r="L215" s="914"/>
      <c r="M215" s="914"/>
      <c r="N215" s="914"/>
      <c r="O215" s="914"/>
      <c r="P215" s="914"/>
      <c r="Q215" s="914"/>
      <c r="R215" s="914"/>
      <c r="S215" s="914"/>
      <c r="T215" s="914"/>
      <c r="U215" s="914"/>
      <c r="V215" s="914"/>
      <c r="W215" s="914"/>
      <c r="X215" s="914"/>
      <c r="Y215" s="914"/>
      <c r="Z215" s="914"/>
      <c r="AA215" s="914"/>
    </row>
    <row r="216" spans="1:27" x14ac:dyDescent="0.2">
      <c r="A216" s="914"/>
      <c r="B216" s="914"/>
      <c r="C216" s="914"/>
      <c r="D216" s="914"/>
      <c r="E216" s="914"/>
      <c r="F216" s="914"/>
      <c r="G216" s="914"/>
      <c r="H216" s="914"/>
      <c r="I216" s="914"/>
      <c r="J216" s="914"/>
      <c r="K216" s="914"/>
      <c r="L216" s="914"/>
      <c r="M216" s="914"/>
      <c r="N216" s="914"/>
      <c r="O216" s="914"/>
      <c r="P216" s="914"/>
      <c r="Q216" s="914"/>
      <c r="R216" s="914"/>
      <c r="S216" s="914"/>
      <c r="T216" s="914"/>
      <c r="U216" s="914"/>
      <c r="V216" s="914"/>
      <c r="W216" s="914"/>
      <c r="X216" s="914"/>
      <c r="Y216" s="914"/>
      <c r="Z216" s="914"/>
      <c r="AA216" s="914"/>
    </row>
    <row r="217" spans="1:27" x14ac:dyDescent="0.2">
      <c r="A217" s="914"/>
      <c r="B217" s="914"/>
      <c r="C217" s="914"/>
      <c r="D217" s="914"/>
      <c r="E217" s="914"/>
      <c r="F217" s="914"/>
      <c r="G217" s="914"/>
      <c r="H217" s="914"/>
      <c r="I217" s="914"/>
      <c r="J217" s="914"/>
      <c r="K217" s="914"/>
      <c r="L217" s="914"/>
      <c r="M217" s="914"/>
      <c r="N217" s="914"/>
      <c r="O217" s="914"/>
      <c r="P217" s="914"/>
      <c r="Q217" s="914"/>
      <c r="R217" s="914"/>
      <c r="S217" s="914"/>
      <c r="T217" s="914"/>
      <c r="U217" s="914"/>
      <c r="V217" s="914"/>
      <c r="W217" s="914"/>
      <c r="X217" s="914"/>
      <c r="Y217" s="914"/>
      <c r="Z217" s="914"/>
      <c r="AA217" s="914"/>
    </row>
    <row r="218" spans="1:27" x14ac:dyDescent="0.2">
      <c r="A218" s="914"/>
      <c r="B218" s="914"/>
      <c r="C218" s="914"/>
      <c r="D218" s="914"/>
      <c r="E218" s="914"/>
      <c r="F218" s="914"/>
      <c r="G218" s="914"/>
      <c r="H218" s="914"/>
      <c r="I218" s="914"/>
      <c r="J218" s="914"/>
      <c r="K218" s="914"/>
      <c r="L218" s="914"/>
      <c r="M218" s="914"/>
      <c r="N218" s="914"/>
      <c r="O218" s="914"/>
      <c r="P218" s="914"/>
      <c r="Q218" s="914"/>
      <c r="R218" s="914"/>
      <c r="S218" s="914"/>
      <c r="T218" s="914"/>
      <c r="U218" s="914"/>
      <c r="V218" s="914"/>
      <c r="W218" s="914"/>
      <c r="X218" s="914"/>
      <c r="Y218" s="914"/>
      <c r="Z218" s="914"/>
      <c r="AA218" s="914"/>
    </row>
    <row r="219" spans="1:27" x14ac:dyDescent="0.2">
      <c r="A219" s="914"/>
      <c r="B219" s="914"/>
      <c r="C219" s="914"/>
      <c r="D219" s="914"/>
      <c r="E219" s="914"/>
      <c r="F219" s="914"/>
      <c r="G219" s="914"/>
      <c r="H219" s="914"/>
      <c r="I219" s="914"/>
      <c r="J219" s="914"/>
      <c r="K219" s="914"/>
      <c r="L219" s="914"/>
      <c r="M219" s="914"/>
      <c r="N219" s="914"/>
      <c r="O219" s="914"/>
      <c r="P219" s="914"/>
      <c r="Q219" s="914"/>
      <c r="R219" s="914"/>
      <c r="S219" s="914"/>
      <c r="T219" s="914"/>
      <c r="U219" s="914"/>
      <c r="V219" s="914"/>
      <c r="W219" s="914"/>
      <c r="X219" s="914"/>
      <c r="Y219" s="914"/>
      <c r="Z219" s="914"/>
      <c r="AA219" s="914"/>
    </row>
    <row r="220" spans="1:27" x14ac:dyDescent="0.2">
      <c r="A220" s="914"/>
      <c r="B220" s="914"/>
      <c r="C220" s="914"/>
      <c r="D220" s="914"/>
      <c r="E220" s="914"/>
      <c r="F220" s="914"/>
      <c r="G220" s="914"/>
      <c r="H220" s="914"/>
      <c r="I220" s="914"/>
      <c r="J220" s="914"/>
      <c r="K220" s="914"/>
      <c r="L220" s="914"/>
      <c r="M220" s="914"/>
      <c r="N220" s="914"/>
      <c r="O220" s="914"/>
      <c r="P220" s="914"/>
      <c r="Q220" s="914"/>
      <c r="R220" s="914"/>
      <c r="S220" s="914"/>
      <c r="T220" s="914"/>
      <c r="U220" s="914"/>
      <c r="V220" s="914"/>
      <c r="W220" s="914"/>
      <c r="X220" s="914"/>
      <c r="Y220" s="914"/>
      <c r="Z220" s="914"/>
      <c r="AA220" s="914"/>
    </row>
    <row r="221" spans="1:27" x14ac:dyDescent="0.2">
      <c r="A221" s="914"/>
      <c r="B221" s="914"/>
      <c r="C221" s="914"/>
      <c r="D221" s="914"/>
      <c r="E221" s="914"/>
      <c r="F221" s="914"/>
      <c r="G221" s="914"/>
      <c r="H221" s="914"/>
      <c r="I221" s="914"/>
      <c r="J221" s="914"/>
      <c r="K221" s="914"/>
      <c r="L221" s="914"/>
      <c r="M221" s="914"/>
      <c r="N221" s="914"/>
      <c r="O221" s="914"/>
      <c r="P221" s="914"/>
      <c r="Q221" s="914"/>
      <c r="R221" s="914"/>
      <c r="S221" s="914"/>
      <c r="T221" s="914"/>
      <c r="U221" s="914"/>
      <c r="V221" s="914"/>
      <c r="W221" s="914"/>
      <c r="X221" s="914"/>
      <c r="Y221" s="914"/>
      <c r="Z221" s="914"/>
      <c r="AA221" s="914"/>
    </row>
    <row r="222" spans="1:27" x14ac:dyDescent="0.2">
      <c r="A222" s="914"/>
      <c r="B222" s="914"/>
      <c r="C222" s="914"/>
      <c r="D222" s="914"/>
      <c r="E222" s="914"/>
      <c r="F222" s="914"/>
      <c r="G222" s="914"/>
      <c r="H222" s="914"/>
      <c r="I222" s="914"/>
      <c r="J222" s="914"/>
      <c r="K222" s="914"/>
      <c r="L222" s="914"/>
      <c r="M222" s="914"/>
      <c r="N222" s="914"/>
      <c r="O222" s="914"/>
      <c r="P222" s="914"/>
      <c r="Q222" s="914"/>
      <c r="R222" s="914"/>
      <c r="S222" s="914"/>
      <c r="T222" s="914"/>
      <c r="U222" s="914"/>
      <c r="V222" s="914"/>
      <c r="W222" s="914"/>
      <c r="X222" s="914"/>
      <c r="Y222" s="914"/>
      <c r="Z222" s="914"/>
      <c r="AA222" s="914"/>
    </row>
    <row r="223" spans="1:27" x14ac:dyDescent="0.2">
      <c r="A223" s="914"/>
      <c r="B223" s="914"/>
      <c r="C223" s="914"/>
      <c r="D223" s="914"/>
      <c r="E223" s="914"/>
      <c r="F223" s="914"/>
      <c r="G223" s="914"/>
      <c r="H223" s="914"/>
      <c r="I223" s="914"/>
      <c r="J223" s="914"/>
      <c r="K223" s="914"/>
      <c r="L223" s="914"/>
      <c r="M223" s="914"/>
      <c r="N223" s="914"/>
      <c r="O223" s="914"/>
      <c r="P223" s="914"/>
      <c r="Q223" s="914"/>
      <c r="R223" s="914"/>
      <c r="S223" s="914"/>
      <c r="T223" s="914"/>
      <c r="U223" s="914"/>
      <c r="V223" s="914"/>
      <c r="W223" s="914"/>
      <c r="X223" s="914"/>
      <c r="Y223" s="914"/>
      <c r="Z223" s="914"/>
      <c r="AA223" s="914"/>
    </row>
    <row r="224" spans="1:27" x14ac:dyDescent="0.2">
      <c r="A224" s="914"/>
      <c r="B224" s="914"/>
      <c r="C224" s="914"/>
      <c r="D224" s="914"/>
      <c r="E224" s="914"/>
      <c r="F224" s="914"/>
      <c r="G224" s="914"/>
      <c r="H224" s="914"/>
      <c r="I224" s="914"/>
      <c r="J224" s="914"/>
      <c r="K224" s="914"/>
      <c r="L224" s="914"/>
      <c r="M224" s="914"/>
      <c r="N224" s="914"/>
      <c r="O224" s="914"/>
      <c r="P224" s="914"/>
      <c r="Q224" s="914"/>
      <c r="R224" s="914"/>
      <c r="S224" s="914"/>
      <c r="T224" s="914"/>
      <c r="U224" s="914"/>
      <c r="V224" s="914"/>
      <c r="W224" s="914"/>
      <c r="X224" s="914"/>
      <c r="Y224" s="914"/>
      <c r="Z224" s="914"/>
      <c r="AA224" s="914"/>
    </row>
    <row r="225" spans="1:27" x14ac:dyDescent="0.2">
      <c r="A225" s="914"/>
      <c r="B225" s="914"/>
      <c r="C225" s="914"/>
      <c r="D225" s="914"/>
      <c r="E225" s="914"/>
      <c r="F225" s="914"/>
      <c r="G225" s="914"/>
      <c r="H225" s="914"/>
      <c r="I225" s="914"/>
      <c r="J225" s="914"/>
      <c r="K225" s="928"/>
      <c r="L225" s="929"/>
      <c r="M225" s="930"/>
      <c r="N225" s="930"/>
      <c r="O225" s="914"/>
      <c r="P225" s="914"/>
      <c r="Q225" s="914"/>
      <c r="R225" s="914"/>
      <c r="S225" s="914"/>
      <c r="T225" s="914"/>
      <c r="U225" s="914"/>
      <c r="V225" s="914"/>
      <c r="W225" s="914"/>
      <c r="X225" s="914"/>
      <c r="Y225" s="914"/>
      <c r="Z225" s="914"/>
      <c r="AA225" s="914"/>
    </row>
    <row r="226" spans="1:27" x14ac:dyDescent="0.2">
      <c r="A226" s="914"/>
      <c r="B226" s="914"/>
      <c r="C226" s="914"/>
      <c r="D226" s="914"/>
      <c r="E226" s="914"/>
      <c r="F226" s="914"/>
      <c r="G226" s="914"/>
      <c r="H226" s="914"/>
      <c r="I226" s="914"/>
      <c r="J226" s="914"/>
      <c r="K226" s="928"/>
      <c r="L226" s="929"/>
      <c r="M226" s="930"/>
      <c r="N226" s="930"/>
      <c r="O226" s="914"/>
      <c r="P226" s="914"/>
      <c r="Q226" s="914"/>
      <c r="R226" s="914"/>
      <c r="S226" s="914"/>
      <c r="T226" s="914"/>
      <c r="U226" s="914"/>
      <c r="V226" s="914"/>
      <c r="W226" s="914"/>
      <c r="X226" s="914"/>
      <c r="Y226" s="914"/>
      <c r="Z226" s="914"/>
      <c r="AA226" s="914"/>
    </row>
    <row r="227" spans="1:27" x14ac:dyDescent="0.2">
      <c r="A227" s="914"/>
      <c r="B227" s="914"/>
      <c r="C227" s="914"/>
      <c r="D227" s="914"/>
      <c r="E227" s="914"/>
      <c r="F227" s="914"/>
      <c r="G227" s="914"/>
      <c r="H227" s="914"/>
      <c r="I227" s="914"/>
      <c r="J227" s="914"/>
      <c r="K227" s="928"/>
      <c r="L227" s="929"/>
      <c r="M227" s="930"/>
      <c r="N227" s="930"/>
      <c r="O227" s="914"/>
      <c r="P227" s="914"/>
      <c r="Q227" s="914"/>
      <c r="R227" s="914"/>
      <c r="S227" s="914"/>
      <c r="T227" s="914"/>
      <c r="U227" s="914"/>
      <c r="V227" s="914"/>
      <c r="W227" s="914"/>
      <c r="X227" s="914"/>
      <c r="Y227" s="914"/>
      <c r="Z227" s="914"/>
      <c r="AA227" s="914"/>
    </row>
    <row r="228" spans="1:27" x14ac:dyDescent="0.2">
      <c r="A228" s="914"/>
      <c r="B228" s="914"/>
      <c r="C228" s="914"/>
      <c r="D228" s="914"/>
      <c r="E228" s="914"/>
      <c r="F228" s="914"/>
      <c r="G228" s="914"/>
      <c r="H228" s="914"/>
      <c r="I228" s="914"/>
      <c r="J228" s="914"/>
      <c r="K228" s="928"/>
      <c r="L228" s="929"/>
      <c r="M228" s="930"/>
      <c r="N228" s="930"/>
      <c r="O228" s="914"/>
      <c r="P228" s="914"/>
      <c r="Q228" s="914"/>
      <c r="R228" s="914"/>
      <c r="S228" s="914"/>
      <c r="T228" s="914"/>
      <c r="U228" s="914"/>
      <c r="V228" s="914"/>
      <c r="W228" s="914"/>
      <c r="X228" s="914"/>
      <c r="Y228" s="914"/>
      <c r="Z228" s="914"/>
      <c r="AA228" s="914"/>
    </row>
    <row r="229" spans="1:27" x14ac:dyDescent="0.2">
      <c r="A229" s="914"/>
      <c r="B229" s="914"/>
      <c r="C229" s="914"/>
      <c r="D229" s="914"/>
      <c r="E229" s="914"/>
      <c r="F229" s="914"/>
      <c r="G229" s="914"/>
      <c r="H229" s="914"/>
      <c r="I229" s="914"/>
      <c r="J229" s="914"/>
      <c r="K229" s="928"/>
      <c r="L229" s="929"/>
      <c r="M229" s="930"/>
      <c r="N229" s="930"/>
      <c r="O229" s="914"/>
      <c r="P229" s="914"/>
      <c r="Q229" s="914"/>
      <c r="R229" s="914"/>
      <c r="S229" s="914"/>
      <c r="T229" s="914"/>
      <c r="U229" s="914"/>
      <c r="V229" s="914"/>
      <c r="W229" s="914"/>
      <c r="X229" s="914"/>
      <c r="Y229" s="914"/>
      <c r="Z229" s="914"/>
      <c r="AA229" s="914"/>
    </row>
    <row r="230" spans="1:27" x14ac:dyDescent="0.2">
      <c r="A230" s="914"/>
      <c r="B230" s="914"/>
      <c r="C230" s="914"/>
      <c r="D230" s="914"/>
      <c r="E230" s="914"/>
      <c r="F230" s="914"/>
      <c r="G230" s="914"/>
      <c r="H230" s="914"/>
      <c r="I230" s="914"/>
      <c r="J230" s="914"/>
      <c r="K230" s="928"/>
      <c r="L230" s="929"/>
      <c r="M230" s="930"/>
      <c r="N230" s="930"/>
      <c r="O230" s="914"/>
      <c r="P230" s="914"/>
      <c r="Q230" s="914"/>
      <c r="R230" s="914"/>
      <c r="S230" s="914"/>
      <c r="T230" s="914"/>
      <c r="U230" s="914"/>
      <c r="V230" s="914"/>
      <c r="W230" s="914"/>
      <c r="X230" s="914"/>
      <c r="Y230" s="914"/>
      <c r="Z230" s="914"/>
      <c r="AA230" s="914"/>
    </row>
    <row r="231" spans="1:27" x14ac:dyDescent="0.2">
      <c r="A231" s="914"/>
      <c r="B231" s="914"/>
      <c r="C231" s="914"/>
      <c r="D231" s="914"/>
      <c r="E231" s="914"/>
      <c r="F231" s="914"/>
      <c r="G231" s="914"/>
      <c r="H231" s="914"/>
      <c r="I231" s="914"/>
      <c r="J231" s="914"/>
      <c r="K231" s="928"/>
      <c r="L231" s="929"/>
      <c r="M231" s="930"/>
      <c r="N231" s="930"/>
      <c r="O231" s="914"/>
      <c r="P231" s="914"/>
      <c r="Q231" s="914"/>
      <c r="R231" s="914"/>
      <c r="S231" s="914"/>
      <c r="T231" s="914"/>
      <c r="U231" s="914"/>
      <c r="V231" s="914"/>
      <c r="W231" s="914"/>
      <c r="X231" s="914"/>
      <c r="Y231" s="914"/>
      <c r="Z231" s="914"/>
      <c r="AA231" s="914"/>
    </row>
    <row r="232" spans="1:27" x14ac:dyDescent="0.2">
      <c r="A232" s="914"/>
      <c r="B232" s="914"/>
      <c r="C232" s="914"/>
      <c r="D232" s="914"/>
      <c r="E232" s="914"/>
      <c r="F232" s="914"/>
      <c r="G232" s="914"/>
      <c r="H232" s="914"/>
      <c r="I232" s="914"/>
      <c r="J232" s="914"/>
      <c r="K232" s="928"/>
      <c r="L232" s="929"/>
      <c r="M232" s="930"/>
      <c r="N232" s="930"/>
      <c r="O232" s="914"/>
      <c r="P232" s="914"/>
      <c r="Q232" s="914"/>
      <c r="R232" s="914"/>
      <c r="S232" s="914"/>
      <c r="T232" s="914"/>
      <c r="U232" s="914"/>
      <c r="V232" s="914"/>
      <c r="W232" s="914"/>
      <c r="X232" s="914"/>
      <c r="Y232" s="914"/>
      <c r="Z232" s="914"/>
      <c r="AA232" s="914"/>
    </row>
    <row r="233" spans="1:27" x14ac:dyDescent="0.2">
      <c r="A233" s="914"/>
      <c r="B233" s="914"/>
      <c r="C233" s="914"/>
      <c r="D233" s="914"/>
      <c r="E233" s="914"/>
      <c r="F233" s="914"/>
      <c r="G233" s="914"/>
      <c r="H233" s="914"/>
      <c r="I233" s="914"/>
      <c r="J233" s="914"/>
      <c r="K233" s="928"/>
      <c r="L233" s="929"/>
      <c r="M233" s="930"/>
      <c r="N233" s="930"/>
      <c r="O233" s="914"/>
      <c r="P233" s="914"/>
      <c r="Q233" s="914"/>
      <c r="R233" s="914"/>
      <c r="S233" s="914"/>
      <c r="T233" s="914"/>
      <c r="U233" s="914"/>
      <c r="V233" s="914"/>
      <c r="W233" s="914"/>
      <c r="X233" s="914"/>
      <c r="Y233" s="914"/>
      <c r="Z233" s="914"/>
      <c r="AA233" s="914"/>
    </row>
  </sheetData>
  <sheetProtection sheet="1" objects="1" scenarios="1"/>
  <mergeCells count="13">
    <mergeCell ref="L94:N94"/>
    <mergeCell ref="A95:N96"/>
    <mergeCell ref="A97:N233"/>
    <mergeCell ref="A1:N1"/>
    <mergeCell ref="O1:AA233"/>
    <mergeCell ref="A2:N2"/>
    <mergeCell ref="A3:N4"/>
    <mergeCell ref="L13:N13"/>
    <mergeCell ref="L89:N89"/>
    <mergeCell ref="L90:N90"/>
    <mergeCell ref="L91:N91"/>
    <mergeCell ref="L92:N92"/>
    <mergeCell ref="L93:N93"/>
  </mergeCells>
  <pageMargins left="0.31944444444444442" right="0.10347222222222222" top="0.32083333333333336" bottom="0.21875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39"/>
  <sheetViews>
    <sheetView topLeftCell="A136" zoomScaleSheetLayoutView="100" workbookViewId="0">
      <selection activeCell="L6" sqref="L6"/>
    </sheetView>
  </sheetViews>
  <sheetFormatPr defaultColWidth="11.5703125" defaultRowHeight="11.25" x14ac:dyDescent="0.2"/>
  <cols>
    <col min="1" max="1" width="18.140625" style="163" customWidth="1"/>
    <col min="2" max="2" width="28.42578125" style="163" customWidth="1"/>
    <col min="3" max="3" width="2.5703125" style="163" customWidth="1"/>
    <col min="4" max="4" width="10" style="492" customWidth="1"/>
    <col min="5" max="5" width="13.85546875" style="492" customWidth="1"/>
    <col min="6" max="6" width="9.28515625" style="492" customWidth="1"/>
    <col min="7" max="7" width="7.85546875" style="492" customWidth="1"/>
    <col min="8" max="8" width="8.85546875" style="492" customWidth="1"/>
    <col min="9" max="16384" width="11.5703125" style="163"/>
  </cols>
  <sheetData>
    <row r="1" spans="1:8" x14ac:dyDescent="0.2">
      <c r="A1" s="163" t="str">
        <f>Data!B6</f>
        <v>DATE</v>
      </c>
      <c r="D1" s="493">
        <f ca="1">Data!D6</f>
        <v>45156.591538541667</v>
      </c>
    </row>
    <row r="3" spans="1:8" ht="12.75" x14ac:dyDescent="0.2">
      <c r="A3" s="163" t="str">
        <f>Data!B8</f>
        <v>AREA NAME</v>
      </c>
      <c r="B3" s="494" t="str">
        <f>Data!C8</f>
        <v>Belongtoabloke</v>
      </c>
    </row>
    <row r="5" spans="1:8" x14ac:dyDescent="0.2">
      <c r="A5" s="163" t="str">
        <f>Data!B10</f>
        <v>AREA FLOOD</v>
      </c>
      <c r="B5" s="163" t="str">
        <f>Data!C12</f>
        <v>Area Flood Diesel Pumps</v>
      </c>
      <c r="D5" s="492">
        <f>Data!E12</f>
        <v>40</v>
      </c>
      <c r="E5" s="492" t="str">
        <f>Data!F12</f>
        <v>ha</v>
      </c>
      <c r="G5" s="495">
        <f>Data!H12</f>
        <v>98.842152400000003</v>
      </c>
      <c r="H5" s="492" t="str">
        <f>Data!I12</f>
        <v>acres</v>
      </c>
    </row>
    <row r="6" spans="1:8" x14ac:dyDescent="0.2">
      <c r="B6" s="163" t="str">
        <f>Data!C13</f>
        <v>No of pumps diesel</v>
      </c>
      <c r="D6" s="492">
        <f>Data!E13</f>
        <v>1</v>
      </c>
      <c r="G6" s="495"/>
    </row>
    <row r="7" spans="1:8" x14ac:dyDescent="0.2">
      <c r="B7" s="163" t="str">
        <f>Data!C10</f>
        <v>Area Flood Electric Pumps</v>
      </c>
      <c r="D7" s="492">
        <f>Data!E10</f>
        <v>40</v>
      </c>
      <c r="E7" s="492" t="str">
        <f>Data!F10</f>
        <v>ha</v>
      </c>
      <c r="G7" s="495">
        <f>Data!H10</f>
        <v>98.842152400000003</v>
      </c>
      <c r="H7" s="492" t="str">
        <f>Data!I10</f>
        <v>acres</v>
      </c>
    </row>
    <row r="8" spans="1:8" x14ac:dyDescent="0.2">
      <c r="B8" s="163" t="str">
        <f>Data!C11</f>
        <v>No of pumps electric</v>
      </c>
      <c r="D8" s="492">
        <f>Data!E11</f>
        <v>1</v>
      </c>
      <c r="G8" s="495"/>
    </row>
    <row r="9" spans="1:8" x14ac:dyDescent="0.2">
      <c r="B9" s="163" t="str">
        <f>Data!C14</f>
        <v>Total area under Flood</v>
      </c>
      <c r="D9" s="492">
        <f>Data!E14</f>
        <v>80</v>
      </c>
      <c r="G9" s="495">
        <f>Data!H14</f>
        <v>197.68430480000001</v>
      </c>
      <c r="H9" s="492" t="str">
        <f>Data!I14</f>
        <v>acres</v>
      </c>
    </row>
    <row r="10" spans="1:8" x14ac:dyDescent="0.2">
      <c r="B10" s="163" t="str">
        <f>Data!C17</f>
        <v>Area under Diesel Pivot</v>
      </c>
      <c r="D10" s="492">
        <f>Data!E17</f>
        <v>40</v>
      </c>
      <c r="E10" s="492" t="str">
        <f>Data!F17</f>
        <v>ha</v>
      </c>
      <c r="G10" s="495">
        <f>Data!H17</f>
        <v>98.842152400000003</v>
      </c>
      <c r="H10" s="492" t="str">
        <f>Data!I17</f>
        <v>acres</v>
      </c>
    </row>
    <row r="11" spans="1:8" x14ac:dyDescent="0.2">
      <c r="B11" s="163" t="str">
        <f>Data!C18</f>
        <v>No of Pivots Diesel</v>
      </c>
      <c r="D11" s="492">
        <f>Data!E18</f>
        <v>1</v>
      </c>
      <c r="G11" s="495"/>
    </row>
    <row r="12" spans="1:8" x14ac:dyDescent="0.2">
      <c r="B12" s="163" t="str">
        <f>Data!C15</f>
        <v>Area under Electric Pivot</v>
      </c>
      <c r="D12" s="492">
        <f>Data!E15</f>
        <v>40</v>
      </c>
      <c r="E12" s="492" t="str">
        <f>Data!F15</f>
        <v>ha</v>
      </c>
      <c r="G12" s="495">
        <f>Data!H15</f>
        <v>98.842152400000003</v>
      </c>
      <c r="H12" s="492" t="str">
        <f>Data!I15</f>
        <v>acres</v>
      </c>
    </row>
    <row r="13" spans="1:8" x14ac:dyDescent="0.2">
      <c r="B13" s="163" t="str">
        <f>Data!C16</f>
        <v>No of Pivots Electric</v>
      </c>
      <c r="D13" s="492">
        <f>Data!E16</f>
        <v>1</v>
      </c>
      <c r="G13" s="495"/>
    </row>
    <row r="14" spans="1:8" x14ac:dyDescent="0.2">
      <c r="B14" s="163" t="str">
        <f>Data!C19</f>
        <v>Total area Under Pivot</v>
      </c>
      <c r="D14" s="492">
        <f>Data!E19</f>
        <v>80</v>
      </c>
      <c r="E14" s="492">
        <f>Data!G19</f>
        <v>160</v>
      </c>
      <c r="G14" s="495">
        <f>Data!H19</f>
        <v>197.68430480000001</v>
      </c>
      <c r="H14" s="492" t="str">
        <f>Data!I19</f>
        <v>acres</v>
      </c>
    </row>
    <row r="15" spans="1:8" x14ac:dyDescent="0.2">
      <c r="B15" s="163" t="str">
        <f>Data!C20</f>
        <v>Dry Land for Seed</v>
      </c>
      <c r="D15" s="492">
        <f>Data!E20</f>
        <v>0</v>
      </c>
      <c r="G15" s="495">
        <f>Data!H20</f>
        <v>0</v>
      </c>
      <c r="H15" s="492" t="str">
        <f>Data!I20</f>
        <v>acres</v>
      </c>
    </row>
    <row r="16" spans="1:8" x14ac:dyDescent="0.2">
      <c r="B16" s="163" t="str">
        <f>Data!C21</f>
        <v>Total area under Lucerne</v>
      </c>
      <c r="D16" s="492">
        <f>Data!E21</f>
        <v>160</v>
      </c>
      <c r="E16" s="492" t="str">
        <f>Data!F21</f>
        <v>ha</v>
      </c>
      <c r="G16" s="495">
        <f>Data!H21</f>
        <v>395.36860960000001</v>
      </c>
      <c r="H16" s="492" t="str">
        <f>Data!I21</f>
        <v>acres</v>
      </c>
    </row>
    <row r="17" spans="1:8" x14ac:dyDescent="0.2">
      <c r="A17" s="163" t="str">
        <f>Data!B33</f>
        <v>WATER</v>
      </c>
      <c r="B17" s="163" t="str">
        <f>Data!C33</f>
        <v>FLOOD</v>
      </c>
      <c r="D17" s="492">
        <f>Data!E33</f>
        <v>11</v>
      </c>
      <c r="F17" s="495">
        <f>Data!G33</f>
        <v>880</v>
      </c>
    </row>
    <row r="18" spans="1:8" x14ac:dyDescent="0.2">
      <c r="B18" s="163" t="str">
        <f>Data!C34</f>
        <v>Av flow rate flood pump</v>
      </c>
      <c r="D18" s="492">
        <f>Data!E34</f>
        <v>450</v>
      </c>
      <c r="E18" s="492" t="str">
        <f>Data!F34</f>
        <v xml:space="preserve">KL/hr </v>
      </c>
      <c r="F18" s="495"/>
    </row>
    <row r="19" spans="1:8" x14ac:dyDescent="0.2">
      <c r="B19" s="163" t="str">
        <f>Data!C37</f>
        <v>ML / Ha used on seed crop</v>
      </c>
      <c r="D19" s="492">
        <f>Data!E37</f>
        <v>9</v>
      </c>
      <c r="E19" s="492" t="str">
        <f>Data!F37</f>
        <v>ML/ha</v>
      </c>
      <c r="F19" s="495"/>
      <c r="G19" s="492">
        <f>Data!G37</f>
        <v>720</v>
      </c>
    </row>
    <row r="20" spans="1:8" x14ac:dyDescent="0.2">
      <c r="B20" s="163" t="str">
        <f>Data!C38</f>
        <v>PIVOT</v>
      </c>
      <c r="D20" s="492">
        <f>Data!E38</f>
        <v>8</v>
      </c>
      <c r="F20" s="495">
        <f>Data!G38</f>
        <v>640</v>
      </c>
    </row>
    <row r="21" spans="1:8" x14ac:dyDescent="0.2">
      <c r="B21" s="163" t="str">
        <f>Data!C39</f>
        <v>Av flow rate pivot irrigation</v>
      </c>
      <c r="D21" s="492">
        <f>Data!E39</f>
        <v>180</v>
      </c>
      <c r="E21" s="492" t="str">
        <f>Data!F39</f>
        <v xml:space="preserve">KL/hr </v>
      </c>
      <c r="F21" s="495"/>
    </row>
    <row r="22" spans="1:8" x14ac:dyDescent="0.2">
      <c r="B22" s="163" t="str">
        <f>Data!C42</f>
        <v>ML / Ha used on seed crop</v>
      </c>
      <c r="D22" s="492">
        <f>Data!E42</f>
        <v>4.5</v>
      </c>
      <c r="E22" s="492" t="str">
        <f>Data!F42</f>
        <v>ML/ha</v>
      </c>
      <c r="F22" s="495"/>
      <c r="G22" s="492">
        <f>Data!G42</f>
        <v>360</v>
      </c>
    </row>
    <row r="23" spans="1:8" x14ac:dyDescent="0.2">
      <c r="B23" s="163" t="str">
        <f>Data!C44</f>
        <v>Total Water Licence Allocation</v>
      </c>
      <c r="D23" s="495">
        <f>Data!E44</f>
        <v>1520</v>
      </c>
      <c r="E23" s="492" t="str">
        <f>Data!F44</f>
        <v>ML</v>
      </c>
      <c r="F23" s="495">
        <f>Data!G44</f>
        <v>1520</v>
      </c>
      <c r="G23" s="492">
        <f>Data!H44</f>
        <v>1080</v>
      </c>
      <c r="H23" s="492">
        <f>Data!I44</f>
        <v>440</v>
      </c>
    </row>
    <row r="24" spans="1:8" x14ac:dyDescent="0.2">
      <c r="A24" s="163" t="str">
        <f>Data!B46</f>
        <v>SEED YIELD</v>
      </c>
      <c r="D24" s="492" t="str">
        <f>Data!E46</f>
        <v>Off Header</v>
      </c>
    </row>
    <row r="25" spans="1:8" x14ac:dyDescent="0.2">
      <c r="B25" s="163" t="str">
        <f>Data!C47</f>
        <v>Seed yield dirty off Flood Irrigation</v>
      </c>
      <c r="D25" s="492">
        <f>Data!E47</f>
        <v>0</v>
      </c>
      <c r="E25" s="492" t="str">
        <f>Data!F47</f>
        <v>kg/ha</v>
      </c>
    </row>
    <row r="26" spans="1:8" x14ac:dyDescent="0.2">
      <c r="B26" s="163" t="str">
        <f>Data!C48</f>
        <v>Seed yield dirty off Pivot Irrigation</v>
      </c>
      <c r="D26" s="492">
        <f>Data!E48</f>
        <v>0</v>
      </c>
      <c r="E26" s="492" t="str">
        <f>Data!F48</f>
        <v>kg/ha</v>
      </c>
    </row>
    <row r="27" spans="1:8" x14ac:dyDescent="0.2">
      <c r="B27" s="163" t="str">
        <f>Data!C49</f>
        <v>Seed yield dirty off Dry Land Paddocks</v>
      </c>
      <c r="D27" s="492">
        <f>Data!E49</f>
        <v>0</v>
      </c>
      <c r="E27" s="492" t="str">
        <f>Data!F49</f>
        <v>kg/ha</v>
      </c>
    </row>
    <row r="28" spans="1:8" x14ac:dyDescent="0.2">
      <c r="B28" s="163" t="str">
        <f>Data!C50</f>
        <v>Clean out</v>
      </c>
      <c r="D28" s="496">
        <f>Data!E50</f>
        <v>0.2</v>
      </c>
    </row>
    <row r="29" spans="1:8" x14ac:dyDescent="0.2">
      <c r="A29" s="163" t="str">
        <f>Data!B57</f>
        <v>INFRASTRUCTURE</v>
      </c>
      <c r="G29" s="492" t="str">
        <f>Data!H58</f>
        <v>kWh</v>
      </c>
      <c r="H29" s="492" t="str">
        <f>Data!I58</f>
        <v>$</v>
      </c>
    </row>
    <row r="30" spans="1:8" x14ac:dyDescent="0.2">
      <c r="A30" s="163" t="str">
        <f>Data!B59</f>
        <v>FLOOD</v>
      </c>
      <c r="B30" s="163" t="str">
        <f>Data!C59</f>
        <v>Size of electric motor kW</v>
      </c>
      <c r="D30" s="492">
        <f>Data!E59</f>
        <v>55</v>
      </c>
      <c r="E30" s="495">
        <f>Data!F59</f>
        <v>73.754999999999995</v>
      </c>
      <c r="F30" s="497" t="str">
        <f>Data!G59</f>
        <v xml:space="preserve">hp </v>
      </c>
      <c r="G30" s="495">
        <f>Data!H59</f>
        <v>44000</v>
      </c>
    </row>
    <row r="31" spans="1:8" x14ac:dyDescent="0.2">
      <c r="B31" s="163" t="str">
        <f>Data!C60</f>
        <v>Cents per kWh</v>
      </c>
      <c r="D31" s="498">
        <f>Data!E60</f>
        <v>0.47</v>
      </c>
      <c r="F31" s="499">
        <f>Data!G60</f>
        <v>20680</v>
      </c>
    </row>
    <row r="32" spans="1:8" x14ac:dyDescent="0.2">
      <c r="B32" s="163" t="str">
        <f>Data!C62</f>
        <v>Litres of Diesel used per Hr</v>
      </c>
      <c r="D32" s="492">
        <f>Data!E62</f>
        <v>11</v>
      </c>
    </row>
    <row r="33" spans="1:8" x14ac:dyDescent="0.2">
      <c r="B33" s="163" t="str">
        <f>Data!C63</f>
        <v>Diesel cents/L after FTC rebate</v>
      </c>
      <c r="D33" s="498">
        <f>Data!E63</f>
        <v>1.3</v>
      </c>
      <c r="H33" s="495">
        <f>Data!I63</f>
        <v>11440</v>
      </c>
    </row>
    <row r="34" spans="1:8" x14ac:dyDescent="0.2">
      <c r="B34" s="163" t="str">
        <f>Data!C23</f>
        <v>Distance of Channel in km's</v>
      </c>
      <c r="D34" s="492">
        <f>Data!E23</f>
        <v>2</v>
      </c>
      <c r="E34" s="492" t="str">
        <f>Data!F23</f>
        <v>km</v>
      </c>
    </row>
    <row r="35" spans="1:8" x14ac:dyDescent="0.2">
      <c r="B35" s="163" t="str">
        <f>Data!C24</f>
        <v>No of flood Bays</v>
      </c>
      <c r="D35" s="492">
        <f>Data!E24</f>
        <v>80</v>
      </c>
    </row>
    <row r="36" spans="1:8" x14ac:dyDescent="0.2">
      <c r="B36" s="163" t="str">
        <f>Data!C25</f>
        <v>Gates per bay</v>
      </c>
      <c r="D36" s="492">
        <f>Data!E25</f>
        <v>1</v>
      </c>
    </row>
    <row r="37" spans="1:8" x14ac:dyDescent="0.2">
      <c r="B37" s="163" t="str">
        <f>Data!C26</f>
        <v>Width of Bays</v>
      </c>
      <c r="D37" s="492">
        <f>Data!E26</f>
        <v>25</v>
      </c>
      <c r="E37" s="492" t="str">
        <f>Data!F26</f>
        <v xml:space="preserve">M </v>
      </c>
    </row>
    <row r="38" spans="1:8" x14ac:dyDescent="0.2">
      <c r="B38" s="163" t="str">
        <f>Data!C27</f>
        <v>Use Set up cost of Flood Irrigation</v>
      </c>
      <c r="D38" s="492">
        <f>Data!E27</f>
        <v>0</v>
      </c>
      <c r="E38" s="497" t="str">
        <f>Data!F27</f>
        <v>(insert a number 1 here if using new area set up costs)</v>
      </c>
    </row>
    <row r="39" spans="1:8" x14ac:dyDescent="0.2">
      <c r="B39" s="163" t="str">
        <f>Data!C69</f>
        <v>Use maintenance costs for flood area</v>
      </c>
      <c r="D39" s="492">
        <f>Data!E69</f>
        <v>1</v>
      </c>
    </row>
    <row r="40" spans="1:8" x14ac:dyDescent="0.2">
      <c r="A40" s="163" t="str">
        <f>Data!B71</f>
        <v>PIVOTS</v>
      </c>
      <c r="B40" s="163" t="str">
        <f>Data!C30</f>
        <v>No of Pivots</v>
      </c>
      <c r="D40" s="492">
        <f>Data!E30</f>
        <v>2</v>
      </c>
    </row>
    <row r="41" spans="1:8" x14ac:dyDescent="0.2">
      <c r="B41" s="163" t="str">
        <f>Data!C31</f>
        <v>No of spans including all Pivots</v>
      </c>
      <c r="D41" s="492">
        <f>Data!E31</f>
        <v>12</v>
      </c>
    </row>
    <row r="42" spans="1:8" x14ac:dyDescent="0.2">
      <c r="B42" s="163" t="str">
        <f>Data!C73</f>
        <v>Size of electric motor kW</v>
      </c>
      <c r="D42" s="492">
        <f>Data!E73</f>
        <v>37</v>
      </c>
      <c r="E42" s="495">
        <f>Data!F73</f>
        <v>49.616999999999997</v>
      </c>
      <c r="F42" s="497" t="str">
        <f>Data!G73</f>
        <v>hp</v>
      </c>
      <c r="G42" s="495">
        <f>Data!H73</f>
        <v>37000</v>
      </c>
    </row>
    <row r="43" spans="1:8" x14ac:dyDescent="0.2">
      <c r="B43" s="163" t="str">
        <f>Data!C74</f>
        <v>Cents per kWh</v>
      </c>
      <c r="D43" s="498">
        <f>Data!E74</f>
        <v>0.46600000000000003</v>
      </c>
      <c r="F43" s="499">
        <f>Data!G74</f>
        <v>17242</v>
      </c>
      <c r="G43" s="495"/>
    </row>
    <row r="44" spans="1:8" x14ac:dyDescent="0.2">
      <c r="B44" s="163" t="str">
        <f>Data!C76</f>
        <v>Litres of Diesel used per Hr</v>
      </c>
      <c r="D44" s="492">
        <f>Data!E76</f>
        <v>11</v>
      </c>
      <c r="G44" s="495"/>
    </row>
    <row r="45" spans="1:8" x14ac:dyDescent="0.2">
      <c r="B45" s="163" t="str">
        <f>Data!C77</f>
        <v>Diesel cents/L after FTC rebate</v>
      </c>
      <c r="D45" s="498">
        <f>Data!E77</f>
        <v>1.3</v>
      </c>
      <c r="G45" s="495"/>
      <c r="H45" s="492">
        <f>Data!I77</f>
        <v>14300</v>
      </c>
    </row>
    <row r="46" spans="1:8" x14ac:dyDescent="0.2">
      <c r="E46" s="492" t="str">
        <f>Data!F78</f>
        <v>Totals</v>
      </c>
      <c r="F46" s="499">
        <f>Data!G78</f>
        <v>37922</v>
      </c>
      <c r="G46" s="495">
        <f>Data!H78</f>
        <v>81000</v>
      </c>
      <c r="H46" s="499">
        <f>Data!I78</f>
        <v>25740</v>
      </c>
    </row>
    <row r="47" spans="1:8" x14ac:dyDescent="0.2">
      <c r="A47" s="163" t="str">
        <f>Data!B80</f>
        <v>Establishment Costs</v>
      </c>
      <c r="B47" s="163" t="str">
        <f>Data!C80</f>
        <v>Seeding rate</v>
      </c>
      <c r="D47" s="492">
        <f>Data!E80</f>
        <v>4.5</v>
      </c>
      <c r="E47" s="492" t="str">
        <f>Data!F80</f>
        <v>kg/ha</v>
      </c>
    </row>
    <row r="48" spans="1:8" x14ac:dyDescent="0.2">
      <c r="B48" s="497" t="str">
        <f>Data!C81</f>
        <v>$ per kg</v>
      </c>
      <c r="D48" s="492">
        <f>Data!E81</f>
        <v>32</v>
      </c>
      <c r="E48" s="492" t="str">
        <f>Data!F81</f>
        <v>$/kg</v>
      </c>
    </row>
    <row r="49" spans="1:8" x14ac:dyDescent="0.2">
      <c r="B49" s="163">
        <f>Data!E80</f>
        <v>4.5</v>
      </c>
      <c r="D49" s="492">
        <f>Data!E82</f>
        <v>7</v>
      </c>
      <c r="E49" s="492">
        <f>Data!E81</f>
        <v>32</v>
      </c>
    </row>
    <row r="50" spans="1:8" x14ac:dyDescent="0.2">
      <c r="A50" s="163" t="str">
        <f>Data!B84</f>
        <v>FERTILISER</v>
      </c>
      <c r="B50" s="163" t="str">
        <f>Data!C84</f>
        <v>Granular</v>
      </c>
      <c r="D50" s="492" t="str">
        <f>Data!E84</f>
        <v>$ / T</v>
      </c>
      <c r="E50" s="492" t="str">
        <f>Data!F84</f>
        <v>T or L used</v>
      </c>
      <c r="G50" s="492" t="str">
        <f>Data!H84</f>
        <v>Kg / ha</v>
      </c>
    </row>
    <row r="51" spans="1:8" x14ac:dyDescent="0.2">
      <c r="B51" s="163" t="str">
        <f>Data!C85</f>
        <v>Single Super</v>
      </c>
      <c r="C51" s="163" t="str">
        <f>Data!D85</f>
        <v>$</v>
      </c>
      <c r="D51" s="492">
        <f>Data!E85</f>
        <v>490</v>
      </c>
      <c r="E51" s="492">
        <f>Data!F85</f>
        <v>16</v>
      </c>
      <c r="G51" s="492">
        <f>Data!H85</f>
        <v>100</v>
      </c>
      <c r="H51" s="492" t="str">
        <f>Data!I85</f>
        <v>kg/ha</v>
      </c>
    </row>
    <row r="52" spans="1:8" x14ac:dyDescent="0.2">
      <c r="B52" s="163" t="str">
        <f>Data!C86</f>
        <v>2 and 1</v>
      </c>
      <c r="C52" s="163" t="str">
        <f>Data!D86</f>
        <v>$</v>
      </c>
      <c r="D52" s="492">
        <f>Data!E86</f>
        <v>700</v>
      </c>
      <c r="E52" s="492">
        <f>Data!F86</f>
        <v>32</v>
      </c>
      <c r="G52" s="492">
        <f>Data!H86</f>
        <v>200</v>
      </c>
      <c r="H52" s="492" t="str">
        <f>Data!I86</f>
        <v>kg/ha</v>
      </c>
    </row>
    <row r="53" spans="1:8" x14ac:dyDescent="0.2">
      <c r="C53" s="163" t="str">
        <f>Data!D87</f>
        <v>$</v>
      </c>
      <c r="D53" s="492">
        <f>Data!E87</f>
        <v>0</v>
      </c>
      <c r="E53" s="492">
        <f>Data!F87</f>
        <v>0</v>
      </c>
      <c r="G53" s="492">
        <f>Data!H87</f>
        <v>0</v>
      </c>
      <c r="H53" s="492" t="str">
        <f>Data!I87</f>
        <v>kg/ha</v>
      </c>
    </row>
    <row r="54" spans="1:8" x14ac:dyDescent="0.2">
      <c r="C54" s="163" t="str">
        <f>Data!D88</f>
        <v>$</v>
      </c>
      <c r="D54" s="492">
        <f>Data!E88</f>
        <v>0</v>
      </c>
      <c r="E54" s="492">
        <f>Data!F88</f>
        <v>0</v>
      </c>
      <c r="G54" s="492">
        <f>Data!H88</f>
        <v>0</v>
      </c>
      <c r="H54" s="492" t="str">
        <f>Data!I88</f>
        <v>kg/ha</v>
      </c>
    </row>
    <row r="55" spans="1:8" x14ac:dyDescent="0.2">
      <c r="B55" s="163" t="str">
        <f>Data!C89</f>
        <v>Liquid Fertiliser</v>
      </c>
      <c r="D55" s="492" t="str">
        <f>Data!E89</f>
        <v>$ / L</v>
      </c>
    </row>
    <row r="56" spans="1:8" x14ac:dyDescent="0.2">
      <c r="B56" s="163" t="e">
        <f>Data!#REF!</f>
        <v>#REF!</v>
      </c>
      <c r="D56" s="492">
        <f>Data!E90</f>
        <v>1.65</v>
      </c>
      <c r="E56" s="492">
        <f>Data!F90</f>
        <v>1600</v>
      </c>
      <c r="G56" s="492">
        <f>Data!H90</f>
        <v>10</v>
      </c>
      <c r="H56" s="492" t="str">
        <f>Data!I90</f>
        <v>L/ha</v>
      </c>
    </row>
    <row r="57" spans="1:8" x14ac:dyDescent="0.2">
      <c r="B57" s="163" t="str">
        <f>Data!C90</f>
        <v>Lucerne Lift/Up</v>
      </c>
      <c r="C57" s="163" t="str">
        <f>Data!D91</f>
        <v>$</v>
      </c>
      <c r="D57" s="492">
        <f>Data!E91</f>
        <v>18.8</v>
      </c>
      <c r="E57" s="492">
        <f>Data!F91</f>
        <v>32</v>
      </c>
      <c r="G57" s="492">
        <f>Data!H91</f>
        <v>0.2</v>
      </c>
      <c r="H57" s="492" t="str">
        <f>Data!I91</f>
        <v>L/ha</v>
      </c>
    </row>
    <row r="58" spans="1:8" x14ac:dyDescent="0.2">
      <c r="C58" s="163" t="str">
        <f>Data!D92</f>
        <v>$</v>
      </c>
      <c r="D58" s="492">
        <f>Data!E92</f>
        <v>0</v>
      </c>
      <c r="E58" s="492">
        <f>Data!F92</f>
        <v>0</v>
      </c>
      <c r="G58" s="492">
        <f>Data!H92</f>
        <v>0</v>
      </c>
      <c r="H58" s="492" t="str">
        <f>Data!I92</f>
        <v>L/ha</v>
      </c>
    </row>
    <row r="59" spans="1:8" x14ac:dyDescent="0.2">
      <c r="C59" s="163" t="str">
        <f>Data!D93</f>
        <v>$</v>
      </c>
      <c r="D59" s="492">
        <f>Data!E93</f>
        <v>0</v>
      </c>
      <c r="E59" s="492">
        <f>Data!F93</f>
        <v>0</v>
      </c>
      <c r="G59" s="492">
        <f>Data!H93</f>
        <v>0</v>
      </c>
      <c r="H59" s="492" t="str">
        <f>Data!I93</f>
        <v>L/ha</v>
      </c>
    </row>
    <row r="60" spans="1:8" x14ac:dyDescent="0.2">
      <c r="B60" s="163" t="str">
        <f>Data!C94</f>
        <v>% used on dryland compared to above</v>
      </c>
      <c r="D60" s="496">
        <f>Data!E94</f>
        <v>0.6</v>
      </c>
    </row>
    <row r="61" spans="1:8" x14ac:dyDescent="0.2">
      <c r="D61" s="492" t="str">
        <f>Data!E95</f>
        <v>Applications</v>
      </c>
      <c r="E61" s="492" t="str">
        <f>Data!F95</f>
        <v>$ / Ha</v>
      </c>
      <c r="F61" s="492" t="str">
        <f>Data!G95</f>
        <v>Freight / T</v>
      </c>
    </row>
    <row r="62" spans="1:8" x14ac:dyDescent="0.2">
      <c r="A62" s="163" t="str">
        <f>Data!B96</f>
        <v>CONTRACTOR RATES</v>
      </c>
      <c r="B62" s="163" t="str">
        <f>Data!C96</f>
        <v>Applications Granular</v>
      </c>
      <c r="D62" s="492">
        <f>Data!E96</f>
        <v>2</v>
      </c>
      <c r="E62" s="498">
        <f>Data!F96</f>
        <v>9</v>
      </c>
      <c r="F62" s="498">
        <f>Data!G96</f>
        <v>45</v>
      </c>
    </row>
    <row r="63" spans="1:8" x14ac:dyDescent="0.2">
      <c r="B63" s="163" t="str">
        <f>Data!C97</f>
        <v>Applications Liquid</v>
      </c>
      <c r="D63" s="492">
        <f>Data!E97</f>
        <v>0</v>
      </c>
      <c r="E63" s="498">
        <f>Data!F97</f>
        <v>20</v>
      </c>
    </row>
    <row r="65" spans="1:8" x14ac:dyDescent="0.2">
      <c r="A65" s="163" t="str">
        <f>Data!B99</f>
        <v>CHEMICALS</v>
      </c>
      <c r="B65" s="163" t="str">
        <f>Data!C99</f>
        <v>Product</v>
      </c>
      <c r="D65" s="492" t="str">
        <f>Data!E99</f>
        <v>Drum Size</v>
      </c>
      <c r="E65" s="492" t="str">
        <f>Data!F99</f>
        <v xml:space="preserve">   $    Drum</v>
      </c>
      <c r="F65" s="492" t="str">
        <f>Data!G99</f>
        <v>$ / L</v>
      </c>
      <c r="G65" s="492" t="str">
        <f>Data!H99</f>
        <v>rate/ha</v>
      </c>
    </row>
    <row r="66" spans="1:8" x14ac:dyDescent="0.2">
      <c r="A66" s="163" t="str">
        <f>Data!B100</f>
        <v>WINTER CLEANING</v>
      </c>
      <c r="B66" s="163" t="str">
        <f>Data!C100</f>
        <v>Li 700</v>
      </c>
      <c r="D66" s="492">
        <f>Data!E100</f>
        <v>20</v>
      </c>
      <c r="E66" s="492">
        <f>Data!F100</f>
        <v>162</v>
      </c>
      <c r="F66" s="500">
        <f>Data!G100</f>
        <v>8.1</v>
      </c>
      <c r="G66" s="501">
        <f>Data!H100</f>
        <v>0.1</v>
      </c>
    </row>
    <row r="67" spans="1:8" x14ac:dyDescent="0.2">
      <c r="B67" s="163" t="str">
        <f>Data!C101</f>
        <v>Diuron</v>
      </c>
      <c r="D67" s="492">
        <f>Data!E101</f>
        <v>15</v>
      </c>
      <c r="E67" s="492">
        <f>Data!F101</f>
        <v>318</v>
      </c>
      <c r="F67" s="500">
        <f>Data!G101</f>
        <v>21.2</v>
      </c>
      <c r="G67" s="501">
        <f>Data!H101</f>
        <v>0.83</v>
      </c>
    </row>
    <row r="68" spans="1:8" x14ac:dyDescent="0.2">
      <c r="B68" s="163" t="str">
        <f>Data!C102</f>
        <v>Terbyne</v>
      </c>
      <c r="D68" s="492">
        <f>Data!E102</f>
        <v>10</v>
      </c>
      <c r="E68" s="492">
        <f>Data!F102</f>
        <v>187</v>
      </c>
      <c r="F68" s="500">
        <f>Data!G102</f>
        <v>18.7</v>
      </c>
      <c r="G68" s="501">
        <f>Data!H102</f>
        <v>0.86</v>
      </c>
    </row>
    <row r="69" spans="1:8" x14ac:dyDescent="0.2">
      <c r="B69" s="163" t="str">
        <f>Data!C103</f>
        <v>Dimethoate</v>
      </c>
      <c r="D69" s="492">
        <f>Data!E103</f>
        <v>10</v>
      </c>
      <c r="E69" s="492">
        <f>Data!F103</f>
        <v>170</v>
      </c>
      <c r="F69" s="500">
        <f>Data!G103</f>
        <v>17</v>
      </c>
      <c r="G69" s="501">
        <f>Data!H103</f>
        <v>0.15</v>
      </c>
    </row>
    <row r="70" spans="1:8" x14ac:dyDescent="0.2">
      <c r="B70" s="163" t="str">
        <f>Data!C104</f>
        <v>Sharpen</v>
      </c>
      <c r="D70" s="492">
        <f>Data!E104</f>
        <v>1</v>
      </c>
      <c r="E70" s="492">
        <f>Data!F104</f>
        <v>485</v>
      </c>
      <c r="F70" s="500">
        <f>Data!G104</f>
        <v>485</v>
      </c>
      <c r="G70" s="501">
        <f>Data!H104</f>
        <v>3.4000000000000002E-2</v>
      </c>
    </row>
    <row r="71" spans="1:8" x14ac:dyDescent="0.2">
      <c r="B71" s="163" t="str">
        <f>Data!C105</f>
        <v>Paraquat</v>
      </c>
      <c r="D71" s="492">
        <f>Data!E105</f>
        <v>20</v>
      </c>
      <c r="E71" s="492">
        <f>Data!F105</f>
        <v>160</v>
      </c>
      <c r="F71" s="500">
        <f>Data!G105</f>
        <v>8</v>
      </c>
      <c r="G71" s="501">
        <f>Data!H105</f>
        <v>2.4</v>
      </c>
    </row>
    <row r="72" spans="1:8" x14ac:dyDescent="0.2">
      <c r="B72" s="163" t="str">
        <f>Data!C106</f>
        <v>Product</v>
      </c>
      <c r="D72" s="492" t="str">
        <f>Data!E106</f>
        <v>Drum Size</v>
      </c>
      <c r="E72" s="492" t="str">
        <f>Data!F106</f>
        <v xml:space="preserve">   $    Drum</v>
      </c>
      <c r="F72" s="500" t="str">
        <f>Data!G106</f>
        <v>$ / L</v>
      </c>
      <c r="G72" s="492" t="str">
        <f>Data!H106</f>
        <v>rate/ha</v>
      </c>
    </row>
    <row r="73" spans="1:8" x14ac:dyDescent="0.2">
      <c r="A73" s="163">
        <f>Data!B107</f>
        <v>0</v>
      </c>
      <c r="B73" s="163" t="str">
        <f>Data!C107</f>
        <v>AMS</v>
      </c>
      <c r="D73" s="492">
        <f>Data!E107</f>
        <v>25</v>
      </c>
      <c r="E73" s="499">
        <f>Data!F107</f>
        <v>29.5</v>
      </c>
      <c r="F73" s="500">
        <f>Data!G107</f>
        <v>1.18</v>
      </c>
      <c r="G73" s="501">
        <f>Data!H107</f>
        <v>1</v>
      </c>
    </row>
    <row r="74" spans="1:8" x14ac:dyDescent="0.2">
      <c r="B74" s="163" t="str">
        <f>Data!C108</f>
        <v>Clethodim 240</v>
      </c>
      <c r="D74" s="492">
        <f>Data!E108</f>
        <v>20</v>
      </c>
      <c r="E74" s="499">
        <f>Data!F108</f>
        <v>250</v>
      </c>
      <c r="F74" s="500">
        <f>Data!G108</f>
        <v>12.5</v>
      </c>
      <c r="G74" s="501">
        <f>Data!H108</f>
        <v>1</v>
      </c>
    </row>
    <row r="75" spans="1:8" x14ac:dyDescent="0.2">
      <c r="B75" s="163" t="str">
        <f>Data!C109</f>
        <v>Hasten</v>
      </c>
      <c r="D75" s="492">
        <f>Data!E109</f>
        <v>20</v>
      </c>
      <c r="E75" s="499">
        <f>Data!F109</f>
        <v>162</v>
      </c>
      <c r="F75" s="500">
        <f>Data!G109</f>
        <v>8.1</v>
      </c>
      <c r="G75" s="501">
        <f>Data!H109</f>
        <v>1</v>
      </c>
    </row>
    <row r="76" spans="1:8" ht="12.75" customHeight="1" x14ac:dyDescent="0.2">
      <c r="B76" s="163" t="str">
        <f>Data!C110</f>
        <v>Buttress</v>
      </c>
      <c r="D76" s="492">
        <f>Data!E110</f>
        <v>20</v>
      </c>
      <c r="E76" s="499">
        <f>Data!F110</f>
        <v>420</v>
      </c>
      <c r="F76" s="500">
        <f>Data!G110</f>
        <v>21</v>
      </c>
      <c r="G76" s="501">
        <f>Data!H110</f>
        <v>2</v>
      </c>
      <c r="H76" s="940" t="s">
        <v>122</v>
      </c>
    </row>
    <row r="77" spans="1:8" x14ac:dyDescent="0.2">
      <c r="B77" s="163" t="str">
        <f>Data!C111</f>
        <v>Spinnaker</v>
      </c>
      <c r="D77" s="492">
        <f>Data!E111</f>
        <v>2</v>
      </c>
      <c r="E77" s="499">
        <f>Data!F111</f>
        <v>180</v>
      </c>
      <c r="F77" s="500">
        <f>Data!G111</f>
        <v>90</v>
      </c>
      <c r="G77" s="501">
        <f>Data!H111</f>
        <v>0.14000000000000001</v>
      </c>
      <c r="H77" s="940"/>
    </row>
    <row r="78" spans="1:8" x14ac:dyDescent="0.2">
      <c r="B78" s="163" t="str">
        <f>Data!C113</f>
        <v>Product</v>
      </c>
      <c r="D78" s="492" t="str">
        <f>Data!E113</f>
        <v>Drum Size</v>
      </c>
      <c r="E78" s="492" t="str">
        <f>Data!F113</f>
        <v xml:space="preserve">   $    Drum</v>
      </c>
      <c r="F78" s="492" t="str">
        <f>Data!G113</f>
        <v>$ / L</v>
      </c>
      <c r="G78" s="492" t="str">
        <f>Data!H113</f>
        <v>rate/ha</v>
      </c>
      <c r="H78" s="940"/>
    </row>
    <row r="79" spans="1:8" x14ac:dyDescent="0.2">
      <c r="A79" s="163">
        <f>Data!B114</f>
        <v>0</v>
      </c>
      <c r="B79" s="163" t="str">
        <f>Data!C114</f>
        <v>Fastac</v>
      </c>
      <c r="D79" s="492">
        <f>Data!E114</f>
        <v>20</v>
      </c>
      <c r="E79" s="492">
        <f>Data!F114</f>
        <v>190</v>
      </c>
      <c r="F79" s="502">
        <f>Data!G114</f>
        <v>9.5</v>
      </c>
      <c r="G79" s="501">
        <f>Data!H114</f>
        <v>0.16</v>
      </c>
      <c r="H79" s="495">
        <f>Data!J114</f>
        <v>3</v>
      </c>
    </row>
    <row r="80" spans="1:8" x14ac:dyDescent="0.2">
      <c r="B80" s="163" t="str">
        <f>Data!C115</f>
        <v>Chlorprifos</v>
      </c>
      <c r="D80" s="492">
        <f>Data!E115</f>
        <v>20</v>
      </c>
      <c r="E80" s="492">
        <f>Data!F115</f>
        <v>178</v>
      </c>
      <c r="F80" s="502">
        <f>Data!G115</f>
        <v>8.9</v>
      </c>
      <c r="G80" s="501">
        <f>Data!H115</f>
        <v>0.4</v>
      </c>
      <c r="H80" s="495">
        <f>Data!J115</f>
        <v>2</v>
      </c>
    </row>
    <row r="81" spans="1:8" x14ac:dyDescent="0.2">
      <c r="B81" s="163" t="str">
        <f>Data!C116</f>
        <v>Hy-Mal</v>
      </c>
      <c r="D81" s="492">
        <f>Data!E116</f>
        <v>20</v>
      </c>
      <c r="E81" s="492">
        <f>Data!F116</f>
        <v>460</v>
      </c>
      <c r="F81" s="502">
        <f>Data!G116</f>
        <v>23</v>
      </c>
      <c r="G81" s="501">
        <f>Data!H116</f>
        <v>0.315</v>
      </c>
      <c r="H81" s="495">
        <f>Data!J116</f>
        <v>1</v>
      </c>
    </row>
    <row r="82" spans="1:8" x14ac:dyDescent="0.2">
      <c r="B82" s="163" t="str">
        <f>Data!C118</f>
        <v>Product</v>
      </c>
      <c r="D82" s="492" t="str">
        <f>Data!E118</f>
        <v>Drum Size</v>
      </c>
      <c r="E82" s="492" t="str">
        <f>Data!F118</f>
        <v xml:space="preserve">   $    Drum</v>
      </c>
      <c r="F82" s="492" t="str">
        <f>Data!G118</f>
        <v>$ / L</v>
      </c>
      <c r="G82" s="492" t="str">
        <f>Data!H118</f>
        <v>rate/ha</v>
      </c>
    </row>
    <row r="83" spans="1:8" x14ac:dyDescent="0.2">
      <c r="A83" s="163">
        <f>Data!B119</f>
        <v>0</v>
      </c>
      <c r="B83" s="163" t="str">
        <f>Data!C119</f>
        <v>Other</v>
      </c>
      <c r="D83" s="492">
        <f>Data!E119</f>
        <v>0</v>
      </c>
      <c r="E83" s="492">
        <f>Data!F119</f>
        <v>0</v>
      </c>
      <c r="F83" s="498">
        <f>Data!G119</f>
        <v>0</v>
      </c>
      <c r="G83" s="492">
        <f>Data!H119</f>
        <v>0</v>
      </c>
    </row>
    <row r="84" spans="1:8" x14ac:dyDescent="0.2">
      <c r="D84" s="492">
        <f>Data!E120</f>
        <v>20</v>
      </c>
      <c r="E84" s="492">
        <f>Data!F120</f>
        <v>250</v>
      </c>
      <c r="F84" s="498">
        <f>Data!G120</f>
        <v>12.5</v>
      </c>
      <c r="G84" s="492">
        <f>Data!H120</f>
        <v>1</v>
      </c>
    </row>
    <row r="85" spans="1:8" x14ac:dyDescent="0.2">
      <c r="D85" s="492">
        <f>Data!E121</f>
        <v>0</v>
      </c>
      <c r="E85" s="492">
        <f>Data!F121</f>
        <v>0</v>
      </c>
      <c r="F85" s="498">
        <f>Data!G121</f>
        <v>0</v>
      </c>
      <c r="G85" s="492">
        <f>Data!H121</f>
        <v>0</v>
      </c>
    </row>
    <row r="86" spans="1:8" x14ac:dyDescent="0.2">
      <c r="D86" s="492">
        <f>Data!E122</f>
        <v>0</v>
      </c>
      <c r="E86" s="492">
        <f>Data!F122</f>
        <v>0</v>
      </c>
      <c r="F86" s="498">
        <f>Data!G122</f>
        <v>0</v>
      </c>
      <c r="G86" s="492">
        <f>Data!H122</f>
        <v>0</v>
      </c>
    </row>
    <row r="87" spans="1:8" x14ac:dyDescent="0.2">
      <c r="B87" s="163" t="str">
        <f>Data!C123</f>
        <v>% used on dryland compared to above</v>
      </c>
      <c r="D87" s="496">
        <f>Data!E123</f>
        <v>0.6</v>
      </c>
    </row>
    <row r="88" spans="1:8" x14ac:dyDescent="0.2">
      <c r="F88" s="492" t="str">
        <f>Data!G124</f>
        <v>$ / Ha</v>
      </c>
    </row>
    <row r="89" spans="1:8" x14ac:dyDescent="0.2">
      <c r="A89" s="163" t="str">
        <f>Data!B125</f>
        <v>SPRAY CONTRACTOR</v>
      </c>
      <c r="B89" s="163" t="str">
        <f>Data!C125</f>
        <v>Applications per year</v>
      </c>
      <c r="D89" s="492">
        <f>Data!E125</f>
        <v>9</v>
      </c>
      <c r="F89" s="498">
        <f>Data!G125</f>
        <v>20</v>
      </c>
    </row>
    <row r="90" spans="1:8" x14ac:dyDescent="0.2">
      <c r="A90" s="163" t="str">
        <f>Data!B126</f>
        <v>SANITISATION /OVERSPRAYS</v>
      </c>
      <c r="B90" s="163" t="str">
        <f>Data!C126</f>
        <v>Percentage of total area</v>
      </c>
      <c r="D90" s="496">
        <f>Data!E126</f>
        <v>0.05</v>
      </c>
      <c r="E90" s="492">
        <f>Data!F126</f>
        <v>8</v>
      </c>
      <c r="F90" s="492" t="str">
        <f>Data!G126</f>
        <v>ha</v>
      </c>
      <c r="G90" s="495">
        <f>Data!H126</f>
        <v>19.768430479999999</v>
      </c>
      <c r="H90" s="492" t="str">
        <f>Data!I126</f>
        <v>acres</v>
      </c>
    </row>
    <row r="91" spans="1:8" x14ac:dyDescent="0.2">
      <c r="A91" s="163" t="str">
        <f>Data!B129</f>
        <v>PEST CONTROL</v>
      </c>
      <c r="D91" s="492" t="str">
        <f>Data!E129</f>
        <v>Bag size kg</v>
      </c>
      <c r="E91" s="492" t="str">
        <f>Data!F129</f>
        <v>$ / Bag</v>
      </c>
      <c r="F91" s="492" t="str">
        <f>Data!G129</f>
        <v>$ / kg</v>
      </c>
      <c r="G91" s="492" t="str">
        <f>Data!H129</f>
        <v>Kg/ha/yr</v>
      </c>
      <c r="H91" s="492" t="str">
        <f>Data!I129</f>
        <v>$ / Ha</v>
      </c>
    </row>
    <row r="92" spans="1:8" x14ac:dyDescent="0.2">
      <c r="B92" s="163" t="str">
        <f>Data!C130</f>
        <v>Snail Bait</v>
      </c>
      <c r="D92" s="492">
        <f>Data!E130</f>
        <v>500</v>
      </c>
      <c r="E92" s="498">
        <f>Data!F130</f>
        <v>640</v>
      </c>
      <c r="F92" s="498">
        <f>Data!G130</f>
        <v>1.28</v>
      </c>
      <c r="G92" s="492">
        <f>Data!H130</f>
        <v>25</v>
      </c>
      <c r="H92" s="498">
        <f>Data!I130</f>
        <v>32</v>
      </c>
    </row>
    <row r="93" spans="1:8" x14ac:dyDescent="0.2">
      <c r="B93" s="497">
        <f>Data!C131</f>
        <v>0</v>
      </c>
      <c r="D93" s="492">
        <f>Data!E131</f>
        <v>0</v>
      </c>
      <c r="E93" s="498">
        <f>Data!F131</f>
        <v>0</v>
      </c>
      <c r="F93" s="498">
        <f>Data!G131</f>
        <v>0</v>
      </c>
      <c r="G93" s="492">
        <f>Data!H131</f>
        <v>0</v>
      </c>
      <c r="H93" s="498">
        <f>Data!I131</f>
        <v>0</v>
      </c>
    </row>
    <row r="94" spans="1:8" x14ac:dyDescent="0.2">
      <c r="A94" s="163" t="str">
        <f>Data!B133</f>
        <v>POLLINATION</v>
      </c>
      <c r="D94" s="492" t="str">
        <f>Data!E133</f>
        <v>No / Ha</v>
      </c>
      <c r="G94" s="492" t="str">
        <f>Data!H133</f>
        <v>$ / Hive</v>
      </c>
    </row>
    <row r="95" spans="1:8" x14ac:dyDescent="0.2">
      <c r="B95" s="163" t="str">
        <f>Data!C134</f>
        <v>Hives</v>
      </c>
      <c r="D95" s="492">
        <f>Data!E134</f>
        <v>2.5</v>
      </c>
      <c r="G95" s="498">
        <f>Data!H134</f>
        <v>12.5</v>
      </c>
    </row>
    <row r="96" spans="1:8" x14ac:dyDescent="0.2">
      <c r="A96" s="163" t="str">
        <f>Data!B137</f>
        <v>SEED CLEANING AND QA</v>
      </c>
      <c r="D96" s="492" t="str">
        <f>Data!E137</f>
        <v>$ / kg</v>
      </c>
    </row>
    <row r="97" spans="1:6" x14ac:dyDescent="0.2">
      <c r="B97" s="163" t="str">
        <f>Data!C138</f>
        <v>Seed Cleaning</v>
      </c>
      <c r="D97" s="498">
        <f>Data!E138</f>
        <v>0.18</v>
      </c>
    </row>
    <row r="98" spans="1:6" x14ac:dyDescent="0.2">
      <c r="B98" s="163" t="str">
        <f>Data!C139</f>
        <v>Seed QA and Levy's</v>
      </c>
      <c r="D98" s="498">
        <f>Data!E139</f>
        <v>0.1</v>
      </c>
    </row>
    <row r="99" spans="1:6" x14ac:dyDescent="0.2">
      <c r="B99" s="163" t="str">
        <f>Data!C140</f>
        <v>Drying Seed</v>
      </c>
      <c r="D99" s="498">
        <f>Data!E140</f>
        <v>0.05</v>
      </c>
      <c r="E99" s="496">
        <f>Data!F140</f>
        <v>0.1</v>
      </c>
      <c r="F99" s="492" t="str">
        <f>Data!G140</f>
        <v>% crop dried</v>
      </c>
    </row>
    <row r="100" spans="1:6" x14ac:dyDescent="0.2">
      <c r="B100" s="163" t="str">
        <f>Data!C141</f>
        <v>Certification</v>
      </c>
      <c r="D100" s="498">
        <f>Data!E141</f>
        <v>10</v>
      </c>
      <c r="E100" s="492" t="str">
        <f>Data!F141</f>
        <v>ha</v>
      </c>
    </row>
    <row r="101" spans="1:6" x14ac:dyDescent="0.2">
      <c r="B101" s="163" t="str">
        <f>Data!C142</f>
        <v>Photosanitory</v>
      </c>
      <c r="D101" s="498">
        <f>Data!E142</f>
        <v>15</v>
      </c>
      <c r="E101" s="492" t="str">
        <f>Data!F142</f>
        <v>ha</v>
      </c>
    </row>
    <row r="102" spans="1:6" x14ac:dyDescent="0.2">
      <c r="B102" s="163" t="str">
        <f>Data!C145</f>
        <v>Crop Monitoring Irrigated Area</v>
      </c>
      <c r="D102" s="498">
        <f>Data!E145</f>
        <v>45</v>
      </c>
      <c r="E102" s="492" t="str">
        <f>Data!F145</f>
        <v>ha</v>
      </c>
    </row>
    <row r="103" spans="1:6" x14ac:dyDescent="0.2">
      <c r="B103" s="163" t="str">
        <f>Data!C147</f>
        <v>Irrigation Scheduling</v>
      </c>
      <c r="D103" s="499">
        <f>Data!E147</f>
        <v>1500</v>
      </c>
      <c r="E103" s="492">
        <f>Data!F147</f>
        <v>1</v>
      </c>
      <c r="F103" s="492" t="str">
        <f>Data!G147</f>
        <v>No of probes</v>
      </c>
    </row>
    <row r="104" spans="1:6" x14ac:dyDescent="0.2">
      <c r="A104" s="163" t="str">
        <f>Data!B149</f>
        <v>LEVY'S AND MEMBERSHIP</v>
      </c>
      <c r="D104" s="492" t="str">
        <f>Data!G149</f>
        <v>$</v>
      </c>
      <c r="E104" s="492" t="str">
        <f>Data!F149</f>
        <v>ML</v>
      </c>
    </row>
    <row r="105" spans="1:6" x14ac:dyDescent="0.2">
      <c r="B105" s="163" t="str">
        <f>Data!C150</f>
        <v>Water Levy</v>
      </c>
      <c r="D105" s="498">
        <f>Data!E150</f>
        <v>2.61</v>
      </c>
    </row>
    <row r="106" spans="1:6" x14ac:dyDescent="0.2">
      <c r="B106" s="163" t="str">
        <f>Data!C152</f>
        <v>LA Membership</v>
      </c>
      <c r="E106" s="498">
        <f>Data!F152</f>
        <v>4.5</v>
      </c>
    </row>
    <row r="107" spans="1:6" x14ac:dyDescent="0.2">
      <c r="A107" s="163" t="str">
        <f>Data!B155</f>
        <v>LABOUR</v>
      </c>
      <c r="B107" s="163" t="str">
        <f>Data!C54</f>
        <v>No of labour units on lucerne</v>
      </c>
      <c r="D107" s="492">
        <f>Data!E54</f>
        <v>1</v>
      </c>
    </row>
    <row r="108" spans="1:6" x14ac:dyDescent="0.2">
      <c r="B108" s="163" t="str">
        <f>Data!C156</f>
        <v>Ha per labour unit</v>
      </c>
      <c r="D108" s="492">
        <f>Data!E156</f>
        <v>160</v>
      </c>
    </row>
    <row r="109" spans="1:6" x14ac:dyDescent="0.2">
      <c r="B109" s="163" t="str">
        <f>Data!C157</f>
        <v>% of annual time on Pivot Lucerne</v>
      </c>
      <c r="D109" s="496">
        <f>Data!E157</f>
        <v>0.1</v>
      </c>
    </row>
    <row r="110" spans="1:6" x14ac:dyDescent="0.2">
      <c r="B110" s="163" t="str">
        <f>Data!C158</f>
        <v>% of annual time on Flood lucerne</v>
      </c>
      <c r="D110" s="496">
        <f>Data!E158</f>
        <v>0.35</v>
      </c>
    </row>
    <row r="111" spans="1:6" x14ac:dyDescent="0.2">
      <c r="B111" s="163" t="str">
        <f>Data!C159</f>
        <v>% of annual time on Dry Land</v>
      </c>
      <c r="D111" s="496">
        <f>Data!E159</f>
        <v>0.05</v>
      </c>
    </row>
    <row r="112" spans="1:6" x14ac:dyDescent="0.2">
      <c r="B112" s="163" t="str">
        <f>Data!C160</f>
        <v xml:space="preserve">Balc of time on other general farm work </v>
      </c>
      <c r="D112" s="496">
        <f>Data!E160</f>
        <v>0.5</v>
      </c>
      <c r="E112" s="496"/>
    </row>
    <row r="113" spans="1:8" x14ac:dyDescent="0.2">
      <c r="B113" s="163" t="str">
        <f>Data!C161</f>
        <v xml:space="preserve">Av entitlement including all wage fees </v>
      </c>
      <c r="D113" s="499">
        <f>Data!E161</f>
        <v>100000</v>
      </c>
    </row>
    <row r="114" spans="1:8" x14ac:dyDescent="0.2">
      <c r="A114" s="163" t="str">
        <f>Data!B164</f>
        <v>HARVEST</v>
      </c>
      <c r="B114" s="163" t="str">
        <f>Data!C164</f>
        <v>Desiccating</v>
      </c>
      <c r="D114" s="492" t="str">
        <f>Data!E164</f>
        <v>ha</v>
      </c>
      <c r="E114" s="492" t="str">
        <f>Data!F164</f>
        <v>L / Drum</v>
      </c>
      <c r="F114" s="492" t="str">
        <f>Data!G164</f>
        <v>$ / Drum</v>
      </c>
      <c r="G114" s="492" t="str">
        <f>Data!H164</f>
        <v>L / Ha</v>
      </c>
      <c r="H114" s="492" t="str">
        <f>Data!I164</f>
        <v>$ / L</v>
      </c>
    </row>
    <row r="115" spans="1:8" x14ac:dyDescent="0.2">
      <c r="B115" s="163" t="str">
        <f>Data!C165</f>
        <v>Sprayseed</v>
      </c>
      <c r="D115" s="492">
        <f>Data!E55</f>
        <v>80</v>
      </c>
      <c r="E115" s="492">
        <f>Data!F165</f>
        <v>20</v>
      </c>
      <c r="F115" s="492">
        <f>Data!G165</f>
        <v>215</v>
      </c>
      <c r="G115" s="492">
        <f>Data!H165</f>
        <v>3</v>
      </c>
      <c r="H115" s="492">
        <f>Data!I165</f>
        <v>9.75</v>
      </c>
    </row>
    <row r="116" spans="1:8" x14ac:dyDescent="0.2">
      <c r="D116" s="492" t="str">
        <f>Data!E166</f>
        <v>ha</v>
      </c>
      <c r="E116" s="492" t="str">
        <f>Data!F166</f>
        <v>$ / Ha</v>
      </c>
    </row>
    <row r="117" spans="1:8" x14ac:dyDescent="0.2">
      <c r="B117" s="163" t="str">
        <f>Data!C167</f>
        <v>Wind Rowing</v>
      </c>
      <c r="D117" s="492">
        <f>Data!E167</f>
        <v>80</v>
      </c>
      <c r="E117" s="499">
        <f>Data!F167</f>
        <v>55</v>
      </c>
      <c r="F117" s="492" t="str">
        <f>Data!G167</f>
        <v xml:space="preserve">$ / Hr </v>
      </c>
      <c r="G117" s="492" t="str">
        <f>Data!H167</f>
        <v xml:space="preserve">ha/hr </v>
      </c>
    </row>
    <row r="118" spans="1:8" x14ac:dyDescent="0.2">
      <c r="B118" s="163" t="str">
        <f>Data!C168</f>
        <v>Reaping</v>
      </c>
      <c r="D118" s="492">
        <f>Data!E168</f>
        <v>160</v>
      </c>
      <c r="F118" s="499">
        <f>Data!G168</f>
        <v>670</v>
      </c>
      <c r="G118" s="492">
        <f>Data!H168</f>
        <v>2.5</v>
      </c>
    </row>
    <row r="119" spans="1:8" x14ac:dyDescent="0.2">
      <c r="B119" s="163" t="str">
        <f>Data!C169</f>
        <v>On Farm Storage (No of Bins)</v>
      </c>
      <c r="D119" s="492">
        <f>Data!E169</f>
        <v>1</v>
      </c>
      <c r="E119" s="499">
        <f>Data!F169</f>
        <v>20000</v>
      </c>
    </row>
    <row r="120" spans="1:8" x14ac:dyDescent="0.2">
      <c r="B120" s="163" t="str">
        <f>Data!C170</f>
        <v>Freight</v>
      </c>
      <c r="D120" s="499">
        <f>Data!E170</f>
        <v>35</v>
      </c>
      <c r="E120" s="492" t="str">
        <f>Data!F170</f>
        <v>$ / T</v>
      </c>
    </row>
    <row r="121" spans="1:8" x14ac:dyDescent="0.2">
      <c r="A121" s="163" t="s">
        <v>72</v>
      </c>
      <c r="D121" s="499"/>
    </row>
    <row r="122" spans="1:8" x14ac:dyDescent="0.2">
      <c r="A122" s="163" t="str">
        <f>'Infrastructure Detailed'!B7</f>
        <v>Drill bore and casing</v>
      </c>
    </row>
    <row r="123" spans="1:8" ht="12.75" x14ac:dyDescent="0.2">
      <c r="B123" s="163" t="str">
        <f>'Infrastructure Detailed'!C7</f>
        <v xml:space="preserve">Interest rate on purchase </v>
      </c>
      <c r="C123"/>
      <c r="D123"/>
      <c r="E123" s="496">
        <f>'Infrastructure Detailed'!D7</f>
        <v>7.0000000000000007E-2</v>
      </c>
    </row>
    <row r="124" spans="1:8" ht="12.75" x14ac:dyDescent="0.2">
      <c r="A124"/>
      <c r="B124" s="163" t="str">
        <f>'Infrastructure Detailed'!C9</f>
        <v>Cost to drill and case bore</v>
      </c>
      <c r="C124"/>
      <c r="D124"/>
      <c r="E124" s="498">
        <f>'Infrastructure Detailed'!D9</f>
        <v>37000</v>
      </c>
    </row>
    <row r="125" spans="1:8" ht="12.75" x14ac:dyDescent="0.2">
      <c r="B125" s="163" t="str">
        <f>'Infrastructure Detailed'!C10</f>
        <v>Cost to clean hole and test flow</v>
      </c>
      <c r="C125"/>
      <c r="D125"/>
      <c r="E125" s="498">
        <f>'Infrastructure Detailed'!D10</f>
        <v>6000</v>
      </c>
      <c r="F125" s="163"/>
      <c r="G125" s="163"/>
      <c r="H125" s="163"/>
    </row>
    <row r="126" spans="1:8" ht="12.75" x14ac:dyDescent="0.2">
      <c r="B126" s="163" t="str">
        <f>'Infrastructure Detailed'!C11</f>
        <v>Total cost to drill, case, clean and test bore</v>
      </c>
      <c r="C126"/>
      <c r="D126"/>
      <c r="E126" s="498">
        <f>'Infrastructure Detailed'!D11</f>
        <v>43000</v>
      </c>
      <c r="F126" s="163"/>
      <c r="G126" s="163"/>
      <c r="H126" s="163"/>
    </row>
    <row r="127" spans="1:8" ht="12.75" x14ac:dyDescent="0.2">
      <c r="B127" s="163" t="str">
        <f>'Infrastructure Detailed'!C12</f>
        <v>Cash to put towards new bore(s)</v>
      </c>
      <c r="C127"/>
      <c r="D127"/>
      <c r="E127" s="499">
        <f>'Infrastructure Detailed'!D12</f>
        <v>0</v>
      </c>
      <c r="F127" s="163"/>
      <c r="G127" s="163"/>
      <c r="H127" s="163"/>
    </row>
    <row r="128" spans="1:8" ht="12.75" x14ac:dyDescent="0.2">
      <c r="B128" s="163" t="str">
        <f>'Infrastructure Detailed'!C13</f>
        <v>Scrap value / trade in value</v>
      </c>
      <c r="C128"/>
      <c r="D128"/>
      <c r="E128" s="498">
        <f>'Infrastructure Detailed'!D13</f>
        <v>0</v>
      </c>
      <c r="F128" s="163"/>
      <c r="G128" s="163"/>
      <c r="H128" s="163"/>
    </row>
    <row r="129" spans="1:8" ht="12.75" x14ac:dyDescent="0.2">
      <c r="A129" s="251"/>
      <c r="B129" s="251" t="str">
        <f>'Infrastructure Detailed'!C14</f>
        <v>Expected life of machine</v>
      </c>
      <c r="C129" s="252"/>
      <c r="D129" s="252"/>
      <c r="E129" s="503">
        <f>'Infrastructure Detailed'!D14</f>
        <v>25</v>
      </c>
      <c r="F129" s="251"/>
      <c r="G129" s="251"/>
      <c r="H129" s="251"/>
    </row>
    <row r="130" spans="1:8" ht="12.75" x14ac:dyDescent="0.2">
      <c r="A130" s="163" t="s">
        <v>453</v>
      </c>
      <c r="B130" s="492" t="s">
        <v>377</v>
      </c>
      <c r="C130"/>
      <c r="D130"/>
      <c r="E130" s="504" t="s">
        <v>454</v>
      </c>
      <c r="F130" s="163"/>
      <c r="G130" s="163"/>
      <c r="H130" s="163"/>
    </row>
    <row r="131" spans="1:8" ht="12.75" x14ac:dyDescent="0.2">
      <c r="A131"/>
      <c r="B131" s="163" t="str">
        <f>'Infrastructure Detailed'!C45</f>
        <v>Cost of Column and Pump</v>
      </c>
      <c r="C131"/>
      <c r="D131" s="499">
        <f>'Infrastructure Detailed'!D45</f>
        <v>20000</v>
      </c>
      <c r="E131" s="505" t="str">
        <f>'Infrastructure Detailed'!C87</f>
        <v>Cost of Column and Pump</v>
      </c>
      <c r="F131"/>
      <c r="G131"/>
      <c r="H131" s="499">
        <f>'Infrastructure Detailed'!D87</f>
        <v>20000</v>
      </c>
    </row>
    <row r="132" spans="1:8" ht="12.75" x14ac:dyDescent="0.2">
      <c r="A132"/>
      <c r="B132" s="163" t="str">
        <f>'Infrastructure Detailed'!C46</f>
        <v>Cash towards Column and Pump</v>
      </c>
      <c r="C132"/>
      <c r="D132" s="499">
        <f>'Infrastructure Detailed'!D46</f>
        <v>0</v>
      </c>
      <c r="E132" s="505" t="str">
        <f>'Infrastructure Detailed'!C88</f>
        <v>Cash towards Column and Pump</v>
      </c>
      <c r="F132"/>
      <c r="G132"/>
      <c r="H132" s="499">
        <f>'Infrastructure Detailed'!D88</f>
        <v>0</v>
      </c>
    </row>
    <row r="133" spans="1:8" ht="12.75" x14ac:dyDescent="0.2">
      <c r="A133"/>
      <c r="B133" s="163" t="str">
        <f>'Infrastructure Detailed'!C47</f>
        <v>Estimated life of machine</v>
      </c>
      <c r="C133"/>
      <c r="D133" s="492">
        <f>'Infrastructure Detailed'!D47</f>
        <v>6.25</v>
      </c>
      <c r="E133" s="505" t="str">
        <f>'Infrastructure Detailed'!C89</f>
        <v>Estimated life of machine</v>
      </c>
      <c r="F133"/>
      <c r="G133"/>
      <c r="H133" s="492">
        <f>'Infrastructure Detailed'!D89</f>
        <v>5</v>
      </c>
    </row>
    <row r="134" spans="1:8" ht="12.75" x14ac:dyDescent="0.2">
      <c r="A134"/>
      <c r="B134" s="163" t="str">
        <f>'Infrastructure Detailed'!C48</f>
        <v>Expected lifetime hours of Pump and Column</v>
      </c>
      <c r="C134"/>
      <c r="D134" s="492">
        <f>'Infrastructure Detailed'!D48</f>
        <v>5000</v>
      </c>
      <c r="E134" s="505" t="str">
        <f>'Infrastructure Detailed'!C90</f>
        <v>Expected lifetime hours of Pump and Column</v>
      </c>
      <c r="F134"/>
      <c r="G134"/>
      <c r="H134" s="492">
        <f>'Infrastructure Detailed'!D90</f>
        <v>5000</v>
      </c>
    </row>
    <row r="135" spans="1:8" ht="12.75" x14ac:dyDescent="0.2">
      <c r="A135" s="252"/>
      <c r="B135" s="252"/>
      <c r="C135" s="252"/>
      <c r="D135" s="252"/>
      <c r="E135" s="506"/>
      <c r="F135" s="252"/>
      <c r="G135" s="251"/>
      <c r="H135" s="251"/>
    </row>
    <row r="136" spans="1:8" ht="12.75" x14ac:dyDescent="0.2">
      <c r="A136" s="163" t="str">
        <f>'Infrastructure Detailed'!B39</f>
        <v>Bore Diesel Flood Irrigation</v>
      </c>
      <c r="C136"/>
      <c r="D136" s="163"/>
      <c r="E136"/>
      <c r="F136" s="163"/>
      <c r="G136" s="163"/>
      <c r="H136" s="163"/>
    </row>
    <row r="137" spans="1:8" ht="12.75" x14ac:dyDescent="0.2">
      <c r="B137" s="163" t="str">
        <f>'Infrastructure Detailed'!C39</f>
        <v xml:space="preserve">Interest rate on purchase </v>
      </c>
      <c r="C137"/>
      <c r="D137"/>
      <c r="E137" s="496">
        <f>'Infrastructure Detailed'!D39</f>
        <v>7.0000000000000007E-2</v>
      </c>
      <c r="F137" s="507"/>
      <c r="G137" s="163"/>
      <c r="H137" s="163"/>
    </row>
    <row r="138" spans="1:8" ht="12.75" x14ac:dyDescent="0.2">
      <c r="A138"/>
      <c r="B138" s="163" t="str">
        <f>'Infrastructure Detailed'!C40</f>
        <v>Cost of motor and angle drive</v>
      </c>
      <c r="C138"/>
      <c r="D138"/>
      <c r="E138" s="499">
        <f>'Infrastructure Detailed'!D40</f>
        <v>20000</v>
      </c>
      <c r="F138" s="496"/>
      <c r="G138" s="163"/>
      <c r="H138" s="163"/>
    </row>
    <row r="139" spans="1:8" ht="12.75" x14ac:dyDescent="0.2">
      <c r="B139" s="163" t="str">
        <f>'Infrastructure Detailed'!C41</f>
        <v>Cash to put towards Motor and angle drive</v>
      </c>
      <c r="C139"/>
      <c r="D139"/>
      <c r="E139" s="499">
        <f>'Infrastructure Detailed'!D41</f>
        <v>0</v>
      </c>
      <c r="F139" s="496"/>
      <c r="G139" s="163"/>
      <c r="H139" s="163"/>
    </row>
    <row r="140" spans="1:8" ht="12.75" x14ac:dyDescent="0.2">
      <c r="B140" s="163" t="str">
        <f>'Infrastructure Detailed'!C42</f>
        <v>Estimated life of machine</v>
      </c>
      <c r="C140"/>
      <c r="D140"/>
      <c r="E140" s="492">
        <f>'Infrastructure Detailed'!D42</f>
        <v>12.5</v>
      </c>
      <c r="F140" s="496"/>
      <c r="G140" s="163"/>
      <c r="H140" s="163"/>
    </row>
    <row r="141" spans="1:8" ht="12.75" x14ac:dyDescent="0.2">
      <c r="B141" s="163" t="str">
        <f>'Infrastructure Detailed'!C49</f>
        <v>Scrap value / trade in value</v>
      </c>
      <c r="C141"/>
      <c r="D141"/>
      <c r="E141" s="498">
        <f>'Infrastructure Detailed'!D49</f>
        <v>1000</v>
      </c>
      <c r="F141" s="496"/>
      <c r="G141" s="163"/>
      <c r="H141" s="163"/>
    </row>
    <row r="142" spans="1:8" ht="12.75" x14ac:dyDescent="0.2">
      <c r="B142" s="163" t="str">
        <f>'Infrastructure Detailed'!C50</f>
        <v>Hours = Ha x ML/flow rate</v>
      </c>
      <c r="C142"/>
      <c r="D142"/>
      <c r="E142" s="495">
        <f>'Infrastructure Detailed'!D50</f>
        <v>800</v>
      </c>
      <c r="F142" s="496"/>
      <c r="G142" s="163"/>
      <c r="H142" s="163"/>
    </row>
    <row r="143" spans="1:8" ht="12.75" x14ac:dyDescent="0.2">
      <c r="B143" s="163" t="str">
        <f>'Infrastructure Detailed'!C51</f>
        <v>Insurance costs</v>
      </c>
      <c r="C143"/>
      <c r="D143"/>
      <c r="E143" s="499">
        <f>'Infrastructure Detailed'!D51</f>
        <v>500</v>
      </c>
      <c r="F143" s="496"/>
      <c r="G143" s="163"/>
      <c r="H143" s="163"/>
    </row>
    <row r="144" spans="1:8" ht="12.75" x14ac:dyDescent="0.2">
      <c r="B144" s="163" t="str">
        <f>'Infrastructure Detailed'!C52</f>
        <v>Shedding if applicable</v>
      </c>
      <c r="C144"/>
      <c r="D144"/>
      <c r="E144" s="499">
        <f>'Infrastructure Detailed'!D52</f>
        <v>2000</v>
      </c>
      <c r="F144" s="496"/>
      <c r="G144" s="163"/>
      <c r="H144" s="163"/>
    </row>
    <row r="145" spans="1:8" ht="12.75" x14ac:dyDescent="0.2">
      <c r="B145" s="163" t="str">
        <f>'Infrastructure Detailed'!C53</f>
        <v>Fuel litres per hour</v>
      </c>
      <c r="C145"/>
      <c r="D145"/>
      <c r="E145" s="492">
        <f>'Infrastructure Detailed'!D53</f>
        <v>11</v>
      </c>
      <c r="F145" s="496"/>
      <c r="G145" s="163"/>
      <c r="H145" s="163"/>
    </row>
    <row r="146" spans="1:8" ht="12.75" x14ac:dyDescent="0.2">
      <c r="B146" s="163" t="str">
        <f>'Infrastructure Detailed'!C54</f>
        <v>Cents per litre after FTC (Full price less 38.143c/L)</v>
      </c>
      <c r="C146"/>
      <c r="D146"/>
      <c r="E146" s="498">
        <f>'Infrastructure Detailed'!D54</f>
        <v>1.3</v>
      </c>
      <c r="F146" s="496"/>
      <c r="G146" s="163"/>
      <c r="H146" s="163"/>
    </row>
    <row r="147" spans="1:8" ht="12.75" x14ac:dyDescent="0.2">
      <c r="B147" s="163" t="str">
        <f>'Infrastructure Detailed'!C55</f>
        <v xml:space="preserve">Repairs % of purchase value per 1000 hours     </v>
      </c>
      <c r="C147"/>
      <c r="D147"/>
      <c r="E147" s="496">
        <f>'Infrastructure Detailed'!D55</f>
        <v>0.04</v>
      </c>
      <c r="F147" s="496"/>
      <c r="G147" s="163"/>
      <c r="H147" s="163"/>
    </row>
    <row r="148" spans="1:8" ht="12.75" x14ac:dyDescent="0.2">
      <c r="B148" s="163" t="str">
        <f>'Infrastructure Detailed'!C56</f>
        <v>Inflation rate of new machine price per year</v>
      </c>
      <c r="C148"/>
      <c r="D148"/>
      <c r="E148" s="496">
        <f>'Infrastructure Detailed'!D56</f>
        <v>0.03</v>
      </c>
      <c r="F148" s="496"/>
      <c r="G148" s="163"/>
      <c r="H148" s="163"/>
    </row>
    <row r="149" spans="1:8" ht="12.75" x14ac:dyDescent="0.2">
      <c r="C149"/>
      <c r="D149"/>
      <c r="E149" s="496" t="str">
        <f>'Infrastructure Detailed'!D57</f>
        <v>$</v>
      </c>
      <c r="F149" s="496" t="s">
        <v>81</v>
      </c>
      <c r="G149" s="163"/>
      <c r="H149" s="163"/>
    </row>
    <row r="150" spans="1:8" ht="12.75" x14ac:dyDescent="0.2">
      <c r="A150" s="251"/>
      <c r="B150" s="251" t="str">
        <f>'Infrastructure Detailed'!C58</f>
        <v>Fuel Bill for all Flood Irrigation Diesel Motors</v>
      </c>
      <c r="C150" s="252"/>
      <c r="D150" s="252"/>
      <c r="E150" s="508">
        <f>'Infrastructure Detailed'!D58</f>
        <v>11440</v>
      </c>
      <c r="F150" s="508">
        <f>'Infrastructure Detailed'!E58</f>
        <v>8800</v>
      </c>
      <c r="G150" s="251"/>
      <c r="H150" s="251"/>
    </row>
    <row r="151" spans="1:8" ht="12.75" x14ac:dyDescent="0.2">
      <c r="A151" s="163" t="str">
        <f>'Infrastructure Detailed'!B18</f>
        <v>Bore Electric Flood Irrigation</v>
      </c>
      <c r="C151"/>
      <c r="D151"/>
      <c r="E151" s="492">
        <f>'Infrastructure Detailed'!D38</f>
        <v>0</v>
      </c>
      <c r="F151" s="496"/>
      <c r="G151" s="163"/>
      <c r="H151" s="163"/>
    </row>
    <row r="152" spans="1:8" ht="12.75" x14ac:dyDescent="0.2">
      <c r="B152" s="163" t="str">
        <f>'Infrastructure Detailed'!C18</f>
        <v xml:space="preserve">Interest rate on purchase </v>
      </c>
      <c r="C152"/>
      <c r="D152"/>
      <c r="E152" s="496">
        <f>'Infrastructure Detailed'!D18</f>
        <v>7.0000000000000007E-2</v>
      </c>
      <c r="F152" s="496"/>
      <c r="G152" s="163"/>
      <c r="H152" s="163"/>
    </row>
    <row r="153" spans="1:8" ht="12.75" x14ac:dyDescent="0.2">
      <c r="A153"/>
      <c r="B153" s="163" t="str">
        <f>'Infrastructure Detailed'!C19</f>
        <v>Cost of motor,bore head and delivery</v>
      </c>
      <c r="C153"/>
      <c r="D153"/>
      <c r="E153" s="499">
        <f>'Infrastructure Detailed'!D19</f>
        <v>20000</v>
      </c>
      <c r="F153" s="496"/>
      <c r="G153" s="496"/>
      <c r="H153" s="163"/>
    </row>
    <row r="154" spans="1:8" ht="12.75" x14ac:dyDescent="0.2">
      <c r="B154" s="163" t="str">
        <f>'Infrastructure Detailed'!C41</f>
        <v>Cash to put towards Motor and angle drive</v>
      </c>
      <c r="C154"/>
      <c r="D154"/>
      <c r="E154" s="499">
        <f>'Infrastructure Detailed'!D41</f>
        <v>0</v>
      </c>
      <c r="F154" s="496"/>
      <c r="G154" s="163"/>
      <c r="H154" s="163"/>
    </row>
    <row r="155" spans="1:8" ht="12.75" x14ac:dyDescent="0.2">
      <c r="B155" s="163" t="str">
        <f>'Infrastructure Detailed'!C21</f>
        <v>Expected life of machine</v>
      </c>
      <c r="C155"/>
      <c r="D155"/>
      <c r="E155" s="492">
        <f>'Infrastructure Detailed'!D21</f>
        <v>12.5</v>
      </c>
      <c r="F155" s="496"/>
      <c r="G155" s="163"/>
      <c r="H155" s="163"/>
    </row>
    <row r="156" spans="1:8" ht="12.75" x14ac:dyDescent="0.2">
      <c r="B156" s="163" t="str">
        <f>'Infrastructure Detailed'!C28</f>
        <v>Scrap value / trade in value</v>
      </c>
      <c r="C156"/>
      <c r="D156"/>
      <c r="E156" s="498">
        <f>'Infrastructure Detailed'!D28</f>
        <v>1000</v>
      </c>
      <c r="F156" s="496"/>
      <c r="G156" s="163"/>
      <c r="H156" s="163"/>
    </row>
    <row r="157" spans="1:8" ht="12.75" x14ac:dyDescent="0.2">
      <c r="B157" s="163" t="str">
        <f>'Infrastructure Detailed'!C29</f>
        <v>Hours = Ha x ML/flow rate</v>
      </c>
      <c r="C157"/>
      <c r="D157"/>
      <c r="E157" s="495">
        <f>'Infrastructure Detailed'!D29</f>
        <v>800</v>
      </c>
      <c r="F157" s="496"/>
      <c r="G157" s="163"/>
      <c r="H157" s="163"/>
    </row>
    <row r="158" spans="1:8" ht="12.75" x14ac:dyDescent="0.2">
      <c r="B158" s="163" t="str">
        <f>'Infrastructure Detailed'!C30</f>
        <v>Reg &amp; Insurance costs</v>
      </c>
      <c r="C158"/>
      <c r="D158"/>
      <c r="E158" s="499">
        <f>'Infrastructure Detailed'!D30</f>
        <v>500</v>
      </c>
      <c r="F158" s="496"/>
      <c r="G158" s="163"/>
      <c r="H158" s="163"/>
    </row>
    <row r="159" spans="1:8" ht="12.75" x14ac:dyDescent="0.2">
      <c r="B159" s="163" t="str">
        <f>'Infrastructure Detailed'!C31</f>
        <v>Shedding if applicable</v>
      </c>
      <c r="C159"/>
      <c r="D159"/>
      <c r="E159" s="499">
        <f>'Infrastructure Detailed'!D31</f>
        <v>2000</v>
      </c>
      <c r="F159" s="496" t="s">
        <v>82</v>
      </c>
      <c r="G159" s="163"/>
      <c r="H159" s="163"/>
    </row>
    <row r="160" spans="1:8" ht="12.75" x14ac:dyDescent="0.2">
      <c r="B160" s="163" t="str">
        <f>'Infrastructure Detailed'!C32</f>
        <v>Av kW power per motor</v>
      </c>
      <c r="C160"/>
      <c r="D160"/>
      <c r="E160" s="492">
        <f>'Infrastructure Detailed'!D32</f>
        <v>55</v>
      </c>
      <c r="F160" s="495">
        <f>'Infrastructure Detailed'!E32</f>
        <v>73.754999999999995</v>
      </c>
      <c r="G160" s="163"/>
      <c r="H160" s="163"/>
    </row>
    <row r="161" spans="1:8" ht="12.75" x14ac:dyDescent="0.2">
      <c r="B161" s="163" t="str">
        <f>'Infrastructure Detailed'!C33</f>
        <v>Cents per kWh</v>
      </c>
      <c r="C161"/>
      <c r="D161"/>
      <c r="E161" s="498">
        <f>'Infrastructure Detailed'!D33</f>
        <v>0.47</v>
      </c>
      <c r="F161" s="496"/>
      <c r="G161" s="163"/>
      <c r="H161" s="163"/>
    </row>
    <row r="162" spans="1:8" ht="12.75" x14ac:dyDescent="0.2">
      <c r="B162" s="163" t="str">
        <f>'Infrastructure Detailed'!C34</f>
        <v xml:space="preserve">Repairs % of purchase value per 1000 hours     </v>
      </c>
      <c r="C162"/>
      <c r="D162"/>
      <c r="E162" s="496">
        <f>'Infrastructure Detailed'!D34</f>
        <v>0.02</v>
      </c>
      <c r="F162" s="496"/>
      <c r="G162" s="163"/>
      <c r="H162" s="163"/>
    </row>
    <row r="163" spans="1:8" ht="12.75" x14ac:dyDescent="0.2">
      <c r="B163" s="163" t="str">
        <f>'Infrastructure Detailed'!C35</f>
        <v>Inflation rate of new machine price per year</v>
      </c>
      <c r="C163"/>
      <c r="D163"/>
      <c r="E163" s="496">
        <f>'Infrastructure Detailed'!D35</f>
        <v>0.03</v>
      </c>
      <c r="F163" s="496"/>
      <c r="G163" s="163"/>
      <c r="H163" s="163"/>
    </row>
    <row r="164" spans="1:8" ht="12.75" x14ac:dyDescent="0.2">
      <c r="C164"/>
      <c r="D164"/>
      <c r="E164" s="496" t="str">
        <f>'Infrastructure Detailed'!D36</f>
        <v>$</v>
      </c>
      <c r="F164" s="496" t="str">
        <f>'Infrastructure Detailed'!E36</f>
        <v>kWh</v>
      </c>
      <c r="G164" s="163"/>
      <c r="H164" s="163"/>
    </row>
    <row r="165" spans="1:8" ht="12.75" x14ac:dyDescent="0.2">
      <c r="A165" s="251"/>
      <c r="B165" s="251" t="str">
        <f>'Infrastructure Detailed'!C37</f>
        <v>Power Bill for all Flood Irrigation Motors</v>
      </c>
      <c r="C165" s="252"/>
      <c r="D165" s="252"/>
      <c r="E165" s="508">
        <f>'Infrastructure Detailed'!D37</f>
        <v>20680</v>
      </c>
      <c r="F165" s="508">
        <f>'Infrastructure Detailed'!E37</f>
        <v>44000</v>
      </c>
      <c r="G165" s="251"/>
      <c r="H165" s="251"/>
    </row>
    <row r="166" spans="1:8" ht="12.75" x14ac:dyDescent="0.2">
      <c r="A166" s="163" t="str">
        <f>'Infrastructure Detailed'!B81</f>
        <v>Bore Diesel Pivot Irrigation</v>
      </c>
      <c r="B166"/>
      <c r="C166"/>
      <c r="D166"/>
      <c r="E166"/>
      <c r="F166"/>
      <c r="G166" s="163"/>
      <c r="H166" s="163"/>
    </row>
    <row r="167" spans="1:8" ht="12.75" x14ac:dyDescent="0.2">
      <c r="B167" s="163" t="str">
        <f>'Infrastructure Detailed'!C81</f>
        <v xml:space="preserve">Interest rate on purchase </v>
      </c>
      <c r="C167"/>
      <c r="D167"/>
      <c r="E167" s="496">
        <f>'Infrastructure Detailed'!D81</f>
        <v>7.0000000000000007E-2</v>
      </c>
      <c r="F167" s="496"/>
      <c r="G167" s="163"/>
      <c r="H167" s="163"/>
    </row>
    <row r="168" spans="1:8" ht="12.75" x14ac:dyDescent="0.2">
      <c r="B168" s="163" t="str">
        <f>'Infrastructure Detailed'!C82</f>
        <v>Cost of motor,bore head and delivery</v>
      </c>
      <c r="C168"/>
      <c r="D168"/>
      <c r="E168" s="499">
        <f>'Infrastructure Detailed'!D82</f>
        <v>75000</v>
      </c>
      <c r="F168" s="496"/>
      <c r="G168" s="163"/>
      <c r="H168" s="163"/>
    </row>
    <row r="169" spans="1:8" ht="12.75" x14ac:dyDescent="0.2">
      <c r="B169" s="163" t="str">
        <f>'Infrastructure Detailed'!C83</f>
        <v>Cash to put towards item</v>
      </c>
      <c r="C169"/>
      <c r="D169"/>
      <c r="E169" s="499">
        <f>'Infrastructure Detailed'!D83</f>
        <v>0</v>
      </c>
      <c r="F169" s="496"/>
      <c r="G169" s="163"/>
      <c r="H169" s="163"/>
    </row>
    <row r="170" spans="1:8" ht="12.75" x14ac:dyDescent="0.2">
      <c r="B170" s="163" t="str">
        <f>'Infrastructure Detailed'!C84</f>
        <v>Estimated life of machine</v>
      </c>
      <c r="C170"/>
      <c r="D170"/>
      <c r="E170" s="492">
        <f>'Infrastructure Detailed'!D84</f>
        <v>20</v>
      </c>
      <c r="F170" s="496"/>
      <c r="G170" s="163"/>
      <c r="H170" s="163"/>
    </row>
    <row r="171" spans="1:8" ht="12.75" x14ac:dyDescent="0.2">
      <c r="B171" s="163" t="str">
        <f>'Infrastructure Detailed'!C91</f>
        <v>Scrap value / trade in value</v>
      </c>
      <c r="C171"/>
      <c r="D171"/>
      <c r="E171" s="498">
        <f>'Infrastructure Detailed'!D91</f>
        <v>1000</v>
      </c>
      <c r="F171" s="496"/>
      <c r="G171" s="163"/>
      <c r="H171" s="163"/>
    </row>
    <row r="172" spans="1:8" ht="12.75" x14ac:dyDescent="0.2">
      <c r="B172" s="163" t="str">
        <f>'Infrastructure Detailed'!C92</f>
        <v>Hours = Ha x ML/flow rate</v>
      </c>
      <c r="C172"/>
      <c r="D172"/>
      <c r="E172" s="495">
        <f>'Infrastructure Detailed'!D92</f>
        <v>1000</v>
      </c>
      <c r="F172" s="496"/>
      <c r="G172" s="163"/>
      <c r="H172" s="163"/>
    </row>
    <row r="173" spans="1:8" ht="12.75" x14ac:dyDescent="0.2">
      <c r="B173" s="163" t="str">
        <f>'Infrastructure Detailed'!C93</f>
        <v>Reg &amp; Insurance costs</v>
      </c>
      <c r="C173"/>
      <c r="D173"/>
      <c r="E173" s="499">
        <f>'Infrastructure Detailed'!D93</f>
        <v>500</v>
      </c>
      <c r="F173" s="496"/>
      <c r="G173" s="163"/>
      <c r="H173" s="163"/>
    </row>
    <row r="174" spans="1:8" ht="12.75" x14ac:dyDescent="0.2">
      <c r="B174" s="163" t="str">
        <f>'Infrastructure Detailed'!C94</f>
        <v>Shedding if applicable</v>
      </c>
      <c r="C174"/>
      <c r="D174"/>
      <c r="E174" s="499">
        <f>'Infrastructure Detailed'!D94</f>
        <v>5000</v>
      </c>
      <c r="F174" s="496"/>
      <c r="G174" s="163"/>
      <c r="H174" s="163"/>
    </row>
    <row r="175" spans="1:8" ht="12.75" x14ac:dyDescent="0.2">
      <c r="B175" s="163" t="str">
        <f>'Infrastructure Detailed'!C95</f>
        <v>Fuel litres per hour</v>
      </c>
      <c r="C175"/>
      <c r="D175"/>
      <c r="E175" s="492">
        <f>'Infrastructure Detailed'!D95</f>
        <v>11</v>
      </c>
      <c r="F175" s="496"/>
      <c r="G175" s="163"/>
      <c r="H175" s="163"/>
    </row>
    <row r="176" spans="1:8" ht="12.75" x14ac:dyDescent="0.2">
      <c r="B176" s="163" t="str">
        <f>'Infrastructure Detailed'!C96</f>
        <v>Cents per litre after FTC (Full price less 38.143c/L)</v>
      </c>
      <c r="C176"/>
      <c r="D176"/>
      <c r="E176" s="498">
        <f>'Infrastructure Detailed'!D96</f>
        <v>1.3</v>
      </c>
      <c r="F176" s="496"/>
      <c r="G176" s="163"/>
      <c r="H176" s="163"/>
    </row>
    <row r="177" spans="1:6" s="163" customFormat="1" ht="12.75" x14ac:dyDescent="0.2">
      <c r="B177" s="163" t="str">
        <f>'Infrastructure Detailed'!C97</f>
        <v xml:space="preserve">Repairs % of purchase value per 1000 hours     </v>
      </c>
      <c r="C177"/>
      <c r="D177"/>
      <c r="E177" s="496">
        <f>'Infrastructure Detailed'!D97</f>
        <v>0.04</v>
      </c>
      <c r="F177" s="496"/>
    </row>
    <row r="178" spans="1:6" s="163" customFormat="1" ht="12.75" x14ac:dyDescent="0.2">
      <c r="B178" s="163" t="str">
        <f>'Infrastructure Detailed'!C98</f>
        <v>Inflation rate of new machine price per year</v>
      </c>
      <c r="C178"/>
      <c r="D178"/>
      <c r="E178" s="496">
        <f>'Infrastructure Detailed'!D98</f>
        <v>0.03</v>
      </c>
      <c r="F178" s="496"/>
    </row>
    <row r="179" spans="1:6" s="163" customFormat="1" ht="12.75" x14ac:dyDescent="0.2">
      <c r="C179"/>
      <c r="D179"/>
      <c r="E179" s="496" t="str">
        <f>'Infrastructure Detailed'!D99</f>
        <v>$</v>
      </c>
      <c r="F179" s="496" t="s">
        <v>81</v>
      </c>
    </row>
    <row r="180" spans="1:6" s="163" customFormat="1" ht="12.75" x14ac:dyDescent="0.2">
      <c r="B180" s="163" t="str">
        <f>'Infrastructure Detailed'!C100</f>
        <v>Fuel Bill for all Pivot Irrigation Diesel Motors</v>
      </c>
      <c r="C180"/>
      <c r="D180"/>
      <c r="E180" s="495">
        <f>'Infrastructure Detailed'!D100</f>
        <v>14300</v>
      </c>
      <c r="F180" s="495">
        <f>'Infrastructure Detailed'!E100</f>
        <v>11000</v>
      </c>
    </row>
    <row r="181" spans="1:6" s="163" customFormat="1" ht="12.75" x14ac:dyDescent="0.2">
      <c r="A181" s="941" t="str">
        <f>'Infrastructure Detailed'!B60</f>
        <v>Bore Electric Pivot Irrigation</v>
      </c>
      <c r="B181" s="163" t="str">
        <f>'Infrastructure Detailed'!C60</f>
        <v xml:space="preserve">Interest rate on purchase </v>
      </c>
      <c r="C181"/>
      <c r="D181"/>
      <c r="E181" s="496">
        <f>'Infrastructure Detailed'!D60</f>
        <v>7.0000000000000007E-2</v>
      </c>
      <c r="F181" s="496"/>
    </row>
    <row r="182" spans="1:6" s="163" customFormat="1" ht="12.75" x14ac:dyDescent="0.2">
      <c r="A182" s="941"/>
      <c r="B182" s="163" t="str">
        <f>'Infrastructure Detailed'!C61</f>
        <v>Cost of motor,bore head and delivery</v>
      </c>
      <c r="C182"/>
      <c r="D182"/>
      <c r="E182" s="499">
        <f>'Infrastructure Detailed'!D61</f>
        <v>75000</v>
      </c>
      <c r="F182" s="496"/>
    </row>
    <row r="183" spans="1:6" s="163" customFormat="1" ht="12.75" x14ac:dyDescent="0.2">
      <c r="A183" s="941"/>
      <c r="B183" s="163" t="str">
        <f>'Infrastructure Detailed'!C62</f>
        <v>Cash to put towards item</v>
      </c>
      <c r="C183"/>
      <c r="D183"/>
      <c r="E183" s="499">
        <f>'Infrastructure Detailed'!D62</f>
        <v>0</v>
      </c>
      <c r="F183" s="496"/>
    </row>
    <row r="184" spans="1:6" s="163" customFormat="1" ht="12.75" x14ac:dyDescent="0.2">
      <c r="A184" s="941"/>
      <c r="B184" s="163" t="str">
        <f>'Infrastructure Detailed'!C63</f>
        <v>Expected life of machine</v>
      </c>
      <c r="C184"/>
      <c r="D184"/>
      <c r="E184" s="492">
        <f>'Infrastructure Detailed'!D63</f>
        <v>20</v>
      </c>
      <c r="F184" s="496"/>
    </row>
    <row r="185" spans="1:6" s="163" customFormat="1" ht="12.75" x14ac:dyDescent="0.2">
      <c r="A185" s="941"/>
      <c r="B185" s="163" t="str">
        <f>'Infrastructure Detailed'!C70</f>
        <v>Scrap value / trade in value</v>
      </c>
      <c r="C185"/>
      <c r="D185"/>
      <c r="E185" s="498">
        <f>'Infrastructure Detailed'!D70</f>
        <v>1000</v>
      </c>
      <c r="F185" s="496"/>
    </row>
    <row r="186" spans="1:6" s="163" customFormat="1" ht="12.75" x14ac:dyDescent="0.2">
      <c r="A186" s="941"/>
      <c r="B186" s="163" t="str">
        <f>'Infrastructure Detailed'!C71</f>
        <v>Hours = Ha x ML/flow rate</v>
      </c>
      <c r="C186"/>
      <c r="D186"/>
      <c r="E186" s="495">
        <f>'Infrastructure Detailed'!D71</f>
        <v>1000</v>
      </c>
      <c r="F186" s="496"/>
    </row>
    <row r="187" spans="1:6" s="163" customFormat="1" ht="12.75" x14ac:dyDescent="0.2">
      <c r="A187" s="941"/>
      <c r="B187" s="163" t="str">
        <f>'Infrastructure Detailed'!C72</f>
        <v>Reg &amp; Insurance costs</v>
      </c>
      <c r="C187"/>
      <c r="D187"/>
      <c r="E187" s="499">
        <f>'Infrastructure Detailed'!D72</f>
        <v>500</v>
      </c>
      <c r="F187" s="496"/>
    </row>
    <row r="188" spans="1:6" s="163" customFormat="1" ht="12.75" x14ac:dyDescent="0.2">
      <c r="A188" s="941"/>
      <c r="B188" s="163" t="str">
        <f>'Infrastructure Detailed'!C73</f>
        <v>Shedding if applicable</v>
      </c>
      <c r="C188"/>
      <c r="D188"/>
      <c r="E188" s="499">
        <f>'Infrastructure Detailed'!D73</f>
        <v>5000</v>
      </c>
      <c r="F188" s="496" t="str">
        <f>'Infrastructure Detailed'!E73</f>
        <v>hp</v>
      </c>
    </row>
    <row r="189" spans="1:6" s="163" customFormat="1" ht="12.75" x14ac:dyDescent="0.2">
      <c r="A189" s="941"/>
      <c r="B189" s="163" t="str">
        <f>'Infrastructure Detailed'!C74</f>
        <v>Av kW power per motor</v>
      </c>
      <c r="C189"/>
      <c r="D189"/>
      <c r="E189" s="492">
        <f>'Infrastructure Detailed'!D74</f>
        <v>37</v>
      </c>
      <c r="F189" s="495">
        <f>'Infrastructure Detailed'!E74</f>
        <v>49.616999999999997</v>
      </c>
    </row>
    <row r="190" spans="1:6" s="163" customFormat="1" ht="12.75" x14ac:dyDescent="0.2">
      <c r="A190" s="941"/>
      <c r="B190" s="163" t="str">
        <f>'Infrastructure Detailed'!C75</f>
        <v>Cents per kWh</v>
      </c>
      <c r="C190"/>
      <c r="D190"/>
      <c r="E190" s="498">
        <f>'Infrastructure Detailed'!D75</f>
        <v>0.46600000000000003</v>
      </c>
      <c r="F190" s="496"/>
    </row>
    <row r="191" spans="1:6" s="163" customFormat="1" ht="12.75" x14ac:dyDescent="0.2">
      <c r="A191" s="941"/>
      <c r="B191" s="163" t="str">
        <f>'Infrastructure Detailed'!C76</f>
        <v xml:space="preserve">Repairs % of purchase value per 1000 hours     </v>
      </c>
      <c r="C191"/>
      <c r="D191"/>
      <c r="E191" s="496">
        <f>'Infrastructure Detailed'!D76</f>
        <v>0.02</v>
      </c>
      <c r="F191" s="496"/>
    </row>
    <row r="192" spans="1:6" s="163" customFormat="1" ht="12.75" x14ac:dyDescent="0.2">
      <c r="A192" s="941"/>
      <c r="B192" s="163" t="str">
        <f>'Infrastructure Detailed'!C77</f>
        <v>Inflation rate of new machine price per year</v>
      </c>
      <c r="C192"/>
      <c r="D192"/>
      <c r="E192" s="496">
        <f>'Infrastructure Detailed'!D77</f>
        <v>0.03</v>
      </c>
      <c r="F192" s="496" t="str">
        <f>'Infrastructure Detailed'!E78</f>
        <v>kWh</v>
      </c>
    </row>
    <row r="193" spans="1:7" s="163" customFormat="1" ht="12.75" x14ac:dyDescent="0.2">
      <c r="A193" s="941"/>
      <c r="B193" s="251" t="str">
        <f>'Infrastructure Detailed'!C79</f>
        <v>Power Bill for all Pivot Irrigation Motors</v>
      </c>
      <c r="C193" s="252"/>
      <c r="D193" s="252"/>
      <c r="E193" s="509">
        <f>'Infrastructure Detailed'!D79</f>
        <v>17242</v>
      </c>
      <c r="F193" s="508">
        <f>'Infrastructure Detailed'!E79</f>
        <v>37000</v>
      </c>
      <c r="G193" s="251"/>
    </row>
    <row r="194" spans="1:7" s="163" customFormat="1" ht="12.75" x14ac:dyDescent="0.2">
      <c r="A194" s="941" t="str">
        <f>'Infrastructure Detailed'!B102</f>
        <v xml:space="preserve">PIVOT REPLACEMENT COST </v>
      </c>
      <c r="B194" s="163" t="str">
        <f>'Infrastructure Detailed'!C103</f>
        <v xml:space="preserve">Interest rate on purchase </v>
      </c>
      <c r="C194"/>
      <c r="D194"/>
      <c r="E194" s="496">
        <f>'Infrastructure Detailed'!D103</f>
        <v>7.0000000000000007E-2</v>
      </c>
      <c r="F194" s="496"/>
    </row>
    <row r="195" spans="1:7" s="163" customFormat="1" ht="12.75" x14ac:dyDescent="0.2">
      <c r="A195" s="941"/>
      <c r="B195" s="163" t="str">
        <f>'Infrastructure Detailed'!C104</f>
        <v>No of pivots spans</v>
      </c>
      <c r="C195"/>
      <c r="D195"/>
      <c r="E195" s="492">
        <f>'Infrastructure Detailed'!D104</f>
        <v>12</v>
      </c>
      <c r="F195" s="496"/>
    </row>
    <row r="196" spans="1:7" s="163" customFormat="1" ht="12.75" x14ac:dyDescent="0.2">
      <c r="A196" s="941"/>
      <c r="B196" s="163" t="str">
        <f>'Infrastructure Detailed'!C105</f>
        <v>$ per span</v>
      </c>
      <c r="C196"/>
      <c r="D196"/>
      <c r="E196" s="499">
        <f>'Infrastructure Detailed'!D105</f>
        <v>35000</v>
      </c>
      <c r="F196" s="496"/>
    </row>
    <row r="197" spans="1:7" s="163" customFormat="1" ht="12.75" x14ac:dyDescent="0.2">
      <c r="A197" s="941"/>
      <c r="B197" s="163" t="str">
        <f>'Infrastructure Detailed'!C106</f>
        <v>Total purchase price of all Pivots</v>
      </c>
      <c r="C197"/>
      <c r="D197"/>
      <c r="E197" s="499">
        <f>'Infrastructure Detailed'!D106</f>
        <v>420000</v>
      </c>
      <c r="F197" s="496"/>
    </row>
    <row r="198" spans="1:7" s="163" customFormat="1" ht="12.75" x14ac:dyDescent="0.2">
      <c r="A198" s="941"/>
      <c r="B198" s="163" t="str">
        <f>'Infrastructure Detailed'!C107</f>
        <v>Cash to put towards item</v>
      </c>
      <c r="C198"/>
      <c r="D198"/>
      <c r="E198" s="499">
        <f>'Infrastructure Detailed'!D107</f>
        <v>0</v>
      </c>
      <c r="F198" s="496"/>
    </row>
    <row r="199" spans="1:7" s="163" customFormat="1" ht="12.75" x14ac:dyDescent="0.2">
      <c r="A199" s="941"/>
      <c r="B199" s="163" t="str">
        <f>'Infrastructure Detailed'!C108</f>
        <v>Expected life of machine</v>
      </c>
      <c r="C199"/>
      <c r="D199"/>
      <c r="E199" s="492">
        <f>'Infrastructure Detailed'!D108</f>
        <v>20</v>
      </c>
      <c r="F199" s="496"/>
    </row>
    <row r="200" spans="1:7" s="163" customFormat="1" ht="12.75" x14ac:dyDescent="0.2">
      <c r="A200" s="941"/>
      <c r="B200" s="163" t="str">
        <f>'Infrastructure Detailed'!C110</f>
        <v>Scrap value / trade in value per span</v>
      </c>
      <c r="C200"/>
      <c r="D200"/>
      <c r="E200" s="499">
        <f>'Infrastructure Detailed'!D110</f>
        <v>500</v>
      </c>
      <c r="F200" s="496"/>
    </row>
    <row r="201" spans="1:7" s="163" customFormat="1" ht="12.75" x14ac:dyDescent="0.2">
      <c r="A201" s="941"/>
      <c r="B201" s="163" t="str">
        <f>'Infrastructure Detailed'!C111</f>
        <v>Insurance costs</v>
      </c>
      <c r="C201"/>
      <c r="D201"/>
      <c r="E201" s="499">
        <f>'Infrastructure Detailed'!D111</f>
        <v>500</v>
      </c>
      <c r="F201" s="496"/>
    </row>
    <row r="202" spans="1:7" s="163" customFormat="1" ht="12.75" x14ac:dyDescent="0.2">
      <c r="A202" s="941"/>
      <c r="B202" s="163" t="str">
        <f>'Infrastructure Detailed'!C112</f>
        <v xml:space="preserve">Repairs % of purchase value per year    </v>
      </c>
      <c r="C202"/>
      <c r="D202"/>
      <c r="E202" s="496">
        <f>'Infrastructure Detailed'!D112</f>
        <v>0.02</v>
      </c>
      <c r="F202" s="496"/>
    </row>
    <row r="203" spans="1:7" s="163" customFormat="1" ht="12.75" x14ac:dyDescent="0.2">
      <c r="A203" s="941"/>
      <c r="B203" s="163" t="str">
        <f>'Infrastructure Detailed'!C113</f>
        <v>Inflation rate of new machine price per year</v>
      </c>
      <c r="C203"/>
      <c r="D203"/>
      <c r="E203" s="496">
        <f>'Infrastructure Detailed'!D113</f>
        <v>0.03</v>
      </c>
      <c r="F203" s="496"/>
    </row>
    <row r="204" spans="1:7" s="163" customFormat="1" ht="12.75" x14ac:dyDescent="0.2">
      <c r="A204" s="941"/>
      <c r="B204" s="251" t="str">
        <f>'Infrastructure Detailed'!C114</f>
        <v>Percentage of Pivot water licence used on seed crop</v>
      </c>
      <c r="C204" s="252"/>
      <c r="D204" s="252"/>
      <c r="E204" s="510">
        <f>'Infrastructure Detailed'!D114</f>
        <v>0.5625</v>
      </c>
      <c r="F204" s="510"/>
      <c r="G204" s="251"/>
    </row>
    <row r="205" spans="1:7" s="163" customFormat="1" ht="12.75" x14ac:dyDescent="0.2">
      <c r="A205" s="941" t="str">
        <f>'Infrastructure Detailed'!B116</f>
        <v>FLOOD BAYS AND CHANNELS TO SET UP</v>
      </c>
      <c r="B205" s="163" t="str">
        <f>'Infrastructure Detailed'!C117</f>
        <v xml:space="preserve">Interest rate on build costs </v>
      </c>
      <c r="C205"/>
      <c r="D205"/>
      <c r="E205" s="496">
        <f>'Infrastructure Detailed'!D117</f>
        <v>7.0000000000000007E-2</v>
      </c>
      <c r="F205" s="496"/>
    </row>
    <row r="206" spans="1:7" s="163" customFormat="1" ht="12.75" x14ac:dyDescent="0.2">
      <c r="A206" s="941"/>
      <c r="B206" s="163" t="str">
        <f>'Infrastructure Detailed'!C119</f>
        <v>Cash to put towards item</v>
      </c>
      <c r="C206"/>
      <c r="D206"/>
      <c r="E206" s="499">
        <f>'Infrastructure Detailed'!D119</f>
        <v>0</v>
      </c>
      <c r="F206" s="496"/>
    </row>
    <row r="207" spans="1:7" s="163" customFormat="1" ht="12.75" x14ac:dyDescent="0.2">
      <c r="A207" s="941"/>
      <c r="B207" s="163" t="str">
        <f>'Infrastructure Detailed'!C121</f>
        <v>Laser Levelling per Ha</v>
      </c>
      <c r="C207"/>
      <c r="D207"/>
      <c r="E207" s="499">
        <f>'Infrastructure Detailed'!D121</f>
        <v>1000</v>
      </c>
      <c r="F207" s="496" t="str">
        <f>'Infrastructure Detailed'!E121</f>
        <v>$/ha</v>
      </c>
    </row>
    <row r="208" spans="1:7" s="163" customFormat="1" ht="12.75" x14ac:dyDescent="0.2">
      <c r="A208" s="941"/>
      <c r="B208" s="163" t="str">
        <f>'Infrastructure Detailed'!C122</f>
        <v>Width of bays in Metres including check-bank on one side</v>
      </c>
      <c r="C208"/>
      <c r="D208"/>
      <c r="E208" s="492">
        <f>'Infrastructure Detailed'!D122</f>
        <v>25</v>
      </c>
      <c r="F208" s="496" t="str">
        <f>'Infrastructure Detailed'!E122</f>
        <v>metres</v>
      </c>
    </row>
    <row r="209" spans="1:6" s="163" customFormat="1" ht="12.75" x14ac:dyDescent="0.2">
      <c r="A209" s="941"/>
      <c r="B209" s="163" t="str">
        <f>'Infrastructure Detailed'!C123</f>
        <v>Check bank building per 100M</v>
      </c>
      <c r="C209"/>
      <c r="D209"/>
      <c r="E209" s="499">
        <f>'Infrastructure Detailed'!D123</f>
        <v>50</v>
      </c>
      <c r="F209" s="496" t="str">
        <f>'Infrastructure Detailed'!E123</f>
        <v>$ /100m</v>
      </c>
    </row>
    <row r="210" spans="1:6" s="163" customFormat="1" ht="12.75" x14ac:dyDescent="0.2">
      <c r="A210" s="941"/>
      <c r="B210" s="163" t="str">
        <f>'Infrastructure Detailed'!C124</f>
        <v>Channel building per 100M (not including gates)</v>
      </c>
      <c r="C210"/>
      <c r="D210"/>
      <c r="E210" s="499">
        <f>'Infrastructure Detailed'!D124</f>
        <v>500</v>
      </c>
      <c r="F210" s="496" t="str">
        <f>'Infrastructure Detailed'!E124</f>
        <v>$ /100m</v>
      </c>
    </row>
    <row r="211" spans="1:6" s="163" customFormat="1" ht="12.75" x14ac:dyDescent="0.2">
      <c r="A211" s="941"/>
      <c r="B211" s="163" t="str">
        <f>'Infrastructure Detailed'!C125</f>
        <v>Distance of all Channels including delivery in KM</v>
      </c>
      <c r="C211"/>
      <c r="D211"/>
      <c r="E211" s="492">
        <f>'Infrastructure Detailed'!D125</f>
        <v>2</v>
      </c>
      <c r="F211" s="496" t="str">
        <f>'Infrastructure Detailed'!E125</f>
        <v>km</v>
      </c>
    </row>
    <row r="212" spans="1:6" s="163" customFormat="1" ht="12.75" x14ac:dyDescent="0.2">
      <c r="A212" s="941"/>
      <c r="B212" s="163" t="str">
        <f>'Infrastructure Detailed'!C126</f>
        <v>No of gates per bay</v>
      </c>
      <c r="C212"/>
      <c r="D212"/>
      <c r="E212" s="492">
        <f>'Infrastructure Detailed'!D126</f>
        <v>1</v>
      </c>
      <c r="F212" s="496"/>
    </row>
    <row r="213" spans="1:6" s="163" customFormat="1" ht="12.75" x14ac:dyDescent="0.2">
      <c r="A213" s="941"/>
      <c r="B213" s="163" t="str">
        <f>'Infrastructure Detailed'!C127</f>
        <v>Cost per gate installed</v>
      </c>
      <c r="C213"/>
      <c r="D213"/>
      <c r="E213" s="499">
        <f>'Infrastructure Detailed'!D127</f>
        <v>1500</v>
      </c>
      <c r="F213" s="496"/>
    </row>
    <row r="214" spans="1:6" s="163" customFormat="1" ht="12.75" x14ac:dyDescent="0.2">
      <c r="A214" s="941"/>
      <c r="B214" s="163" t="str">
        <f>'Infrastructure Detailed'!C128</f>
        <v>Automation per bay</v>
      </c>
      <c r="C214"/>
      <c r="D214"/>
      <c r="E214" s="499">
        <f>'Infrastructure Detailed'!D128</f>
        <v>0</v>
      </c>
      <c r="F214" s="496"/>
    </row>
    <row r="215" spans="1:6" s="163" customFormat="1" ht="12.75" x14ac:dyDescent="0.2">
      <c r="A215" s="941"/>
      <c r="B215" s="163" t="str">
        <f>'Infrastructure Detailed'!C129</f>
        <v>Total number of flood bays</v>
      </c>
      <c r="C215"/>
      <c r="D215"/>
      <c r="E215" s="492">
        <f>'Infrastructure Detailed'!D129</f>
        <v>80</v>
      </c>
      <c r="F215" s="496"/>
    </row>
    <row r="216" spans="1:6" s="163" customFormat="1" ht="12.75" x14ac:dyDescent="0.2">
      <c r="A216" s="941"/>
      <c r="B216" s="163" t="str">
        <f>'Infrastructure Detailed'!C120</f>
        <v>Expected life of loan</v>
      </c>
      <c r="C216"/>
      <c r="D216"/>
      <c r="E216" s="492">
        <f>'Infrastructure Detailed'!D120</f>
        <v>10</v>
      </c>
      <c r="F216" s="496"/>
    </row>
    <row r="217" spans="1:6" s="163" customFormat="1" ht="12.75" x14ac:dyDescent="0.2">
      <c r="A217" s="941"/>
      <c r="B217" s="251" t="str">
        <f>'Infrastructure Detailed'!C130</f>
        <v>Scrap value / trade in value</v>
      </c>
      <c r="C217" s="252"/>
      <c r="D217" s="252"/>
      <c r="E217" s="509">
        <f>'Infrastructure Detailed'!D130</f>
        <v>0</v>
      </c>
      <c r="F217" s="510"/>
    </row>
    <row r="218" spans="1:6" s="163" customFormat="1" ht="12.75" x14ac:dyDescent="0.2">
      <c r="A218" s="941" t="str">
        <f>'Infrastructure Detailed'!B133</f>
        <v xml:space="preserve"> FLOOD BAYS AND CHANNELS   MAINTENANCE </v>
      </c>
      <c r="B218" s="163" t="str">
        <f>'Infrastructure Detailed'!C134</f>
        <v xml:space="preserve">Interest rate on build costs </v>
      </c>
      <c r="C218"/>
      <c r="D218"/>
      <c r="E218" s="496">
        <f>'Infrastructure Detailed'!D134</f>
        <v>7.0000000000000007E-2</v>
      </c>
      <c r="F218" s="496"/>
    </row>
    <row r="219" spans="1:6" s="163" customFormat="1" ht="12.75" x14ac:dyDescent="0.2">
      <c r="A219" s="941"/>
      <c r="B219" s="163" t="str">
        <f>'Infrastructure Detailed'!C136</f>
        <v>Cash to put towards item</v>
      </c>
      <c r="C219"/>
      <c r="D219"/>
      <c r="E219" s="499">
        <f>'Infrastructure Detailed'!D136</f>
        <v>5000</v>
      </c>
      <c r="F219" s="496"/>
    </row>
    <row r="220" spans="1:6" s="163" customFormat="1" ht="12.75" x14ac:dyDescent="0.2">
      <c r="A220" s="941"/>
      <c r="B220" s="163" t="str">
        <f>'Infrastructure Detailed'!C138</f>
        <v>Laser Levelling per Ha</v>
      </c>
      <c r="C220"/>
      <c r="D220"/>
      <c r="E220" s="499">
        <f>'Infrastructure Detailed'!D138</f>
        <v>1000</v>
      </c>
      <c r="F220" s="496" t="str">
        <f>'Infrastructure Detailed'!E138</f>
        <v>$/ha</v>
      </c>
    </row>
    <row r="221" spans="1:6" s="163" customFormat="1" ht="12.75" x14ac:dyDescent="0.2">
      <c r="A221" s="941"/>
      <c r="B221" s="163" t="str">
        <f>'Infrastructure Detailed'!C139</f>
        <v>Width of bays in Metres including checkbank on one side</v>
      </c>
      <c r="C221"/>
      <c r="D221"/>
      <c r="E221" s="492">
        <f>'Infrastructure Detailed'!D139</f>
        <v>25</v>
      </c>
      <c r="F221" s="496" t="str">
        <f>'Infrastructure Detailed'!E139</f>
        <v>metres</v>
      </c>
    </row>
    <row r="222" spans="1:6" s="163" customFormat="1" ht="12.75" x14ac:dyDescent="0.2">
      <c r="A222" s="941"/>
      <c r="B222" s="163" t="str">
        <f>'Infrastructure Detailed'!C140</f>
        <v>Checkbank maintenance (grading)</v>
      </c>
      <c r="C222"/>
      <c r="D222"/>
      <c r="E222" s="499">
        <f>'Infrastructure Detailed'!D140</f>
        <v>95</v>
      </c>
      <c r="F222" s="496" t="str">
        <f>'Infrastructure Detailed'!E140</f>
        <v>$/HR</v>
      </c>
    </row>
    <row r="223" spans="1:6" s="163" customFormat="1" ht="12.75" x14ac:dyDescent="0.2">
      <c r="A223" s="941"/>
      <c r="B223" s="163" t="str">
        <f>'Infrastructure Detailed'!C141</f>
        <v>Channel maintenance per 100M (not including gates)</v>
      </c>
      <c r="C223"/>
      <c r="D223"/>
      <c r="E223" s="499">
        <f>'Infrastructure Detailed'!D141</f>
        <v>100</v>
      </c>
      <c r="F223" s="496" t="str">
        <f>'Infrastructure Detailed'!E141</f>
        <v>$ /100m</v>
      </c>
    </row>
    <row r="224" spans="1:6" s="163" customFormat="1" ht="12.75" x14ac:dyDescent="0.2">
      <c r="A224" s="941"/>
      <c r="B224" s="163" t="str">
        <f>'Infrastructure Detailed'!C142</f>
        <v>Time between checkbank grading in years</v>
      </c>
      <c r="C224"/>
      <c r="D224"/>
      <c r="E224" s="492">
        <f>'Infrastructure Detailed'!D142</f>
        <v>1</v>
      </c>
      <c r="F224" s="496"/>
    </row>
    <row r="225" spans="1:7" s="163" customFormat="1" ht="12.75" x14ac:dyDescent="0.2">
      <c r="A225" s="941"/>
      <c r="B225" s="163" t="str">
        <f>'Infrastructure Detailed'!C143</f>
        <v>Distance of all Cannels including delivery in KM</v>
      </c>
      <c r="C225"/>
      <c r="D225"/>
      <c r="E225" s="492">
        <f>'Infrastructure Detailed'!D143</f>
        <v>2</v>
      </c>
      <c r="F225" s="496" t="str">
        <f>'Infrastructure Detailed'!E143</f>
        <v>km</v>
      </c>
    </row>
    <row r="226" spans="1:7" s="163" customFormat="1" ht="12.75" x14ac:dyDescent="0.2">
      <c r="A226" s="941"/>
      <c r="B226" s="163" t="str">
        <f>'Infrastructure Detailed'!C144</f>
        <v>No of gates per bay</v>
      </c>
      <c r="C226"/>
      <c r="D226"/>
      <c r="E226" s="492">
        <f>'Infrastructure Detailed'!D144</f>
        <v>2</v>
      </c>
      <c r="F226" s="496"/>
    </row>
    <row r="227" spans="1:7" s="163" customFormat="1" ht="12.75" x14ac:dyDescent="0.2">
      <c r="A227" s="941"/>
      <c r="B227" s="163" t="str">
        <f>'Infrastructure Detailed'!C145</f>
        <v>Expected life of new gates</v>
      </c>
      <c r="C227"/>
      <c r="D227"/>
      <c r="E227" s="492">
        <f>'Infrastructure Detailed'!D145</f>
        <v>14</v>
      </c>
      <c r="F227" s="496"/>
    </row>
    <row r="228" spans="1:7" s="163" customFormat="1" ht="12.75" x14ac:dyDescent="0.2">
      <c r="A228" s="941"/>
      <c r="B228" s="163" t="str">
        <f>'Infrastructure Detailed'!C146</f>
        <v>Cost per gate installed</v>
      </c>
      <c r="C228"/>
      <c r="D228"/>
      <c r="E228" s="499">
        <f>'Infrastructure Detailed'!D146</f>
        <v>1500</v>
      </c>
      <c r="F228" s="496"/>
    </row>
    <row r="229" spans="1:7" s="163" customFormat="1" ht="12.75" x14ac:dyDescent="0.2">
      <c r="A229" s="941"/>
      <c r="B229" s="163" t="str">
        <f>'Infrastructure Detailed'!C147</f>
        <v>Gate automation per flood bay</v>
      </c>
      <c r="C229"/>
      <c r="D229"/>
      <c r="E229" s="499">
        <f>'Infrastructure Detailed'!D147</f>
        <v>0</v>
      </c>
      <c r="F229" s="496"/>
    </row>
    <row r="230" spans="1:7" s="163" customFormat="1" ht="12.75" x14ac:dyDescent="0.2">
      <c r="A230" s="941"/>
      <c r="B230" s="251" t="str">
        <f>'Infrastructure Detailed'!C148</f>
        <v>Expected life of laser levelling</v>
      </c>
      <c r="C230" s="252"/>
      <c r="D230" s="252"/>
      <c r="E230" s="503">
        <f>'Infrastructure Detailed'!D148</f>
        <v>14</v>
      </c>
      <c r="F230" s="510"/>
    </row>
    <row r="231" spans="1:7" s="163" customFormat="1" ht="12.75" customHeight="1" x14ac:dyDescent="0.2">
      <c r="A231" s="941" t="s">
        <v>356</v>
      </c>
      <c r="B231" s="163" t="str">
        <f>'Infrastructure Detailed'!C152</f>
        <v>Interest rate on loan</v>
      </c>
      <c r="C231"/>
      <c r="D231"/>
      <c r="E231" s="496">
        <f>'Infrastructure Detailed'!D152</f>
        <v>7.0000000000000007E-2</v>
      </c>
      <c r="F231" s="492">
        <f>'Infrastructure Detailed'!D156</f>
        <v>15</v>
      </c>
      <c r="G231" s="511" t="s">
        <v>193</v>
      </c>
    </row>
    <row r="232" spans="1:7" s="163" customFormat="1" ht="12.75" x14ac:dyDescent="0.2">
      <c r="A232" s="941"/>
      <c r="B232" s="251" t="str">
        <f>'Infrastructure Detailed'!C153</f>
        <v>Cost of powerlines to all FLOOD pumps</v>
      </c>
      <c r="C232" s="252"/>
      <c r="D232" s="252"/>
      <c r="E232" s="509">
        <f>'Infrastructure Detailed'!D153</f>
        <v>0</v>
      </c>
      <c r="F232" s="510"/>
    </row>
    <row r="233" spans="1:7" s="163" customFormat="1" ht="12.75" x14ac:dyDescent="0.2">
      <c r="A233" s="937" t="str">
        <f>'Infrastructure Detailed'!B159</f>
        <v>COST OF POWERLINES TO PUMP SITE(S) PIVOT</v>
      </c>
      <c r="B233" s="163" t="str">
        <f>'Infrastructure Detailed'!C160</f>
        <v>Interest rate on loan</v>
      </c>
      <c r="C233"/>
      <c r="D233"/>
      <c r="E233" s="496">
        <f>'Infrastructure Detailed'!D160</f>
        <v>7.0000000000000007E-2</v>
      </c>
      <c r="F233" s="492">
        <f>'Infrastructure Detailed'!D164</f>
        <v>15</v>
      </c>
      <c r="G233" s="511" t="s">
        <v>193</v>
      </c>
    </row>
    <row r="234" spans="1:7" s="163" customFormat="1" ht="12.75" x14ac:dyDescent="0.2">
      <c r="A234" s="937"/>
      <c r="B234" s="251" t="str">
        <f>'Infrastructure Detailed'!C161</f>
        <v>Cost of powerlines to PIVOT pump sites</v>
      </c>
      <c r="C234" s="252"/>
      <c r="D234" s="252"/>
      <c r="E234" s="509">
        <f>'Infrastructure Detailed'!D161</f>
        <v>0</v>
      </c>
      <c r="F234" s="510"/>
    </row>
    <row r="235" spans="1:7" x14ac:dyDescent="0.2">
      <c r="A235" s="938" t="s">
        <v>455</v>
      </c>
      <c r="C235" s="512" t="s">
        <v>377</v>
      </c>
      <c r="D235" s="492">
        <f>Data!E35</f>
        <v>0</v>
      </c>
      <c r="E235" s="499">
        <f>Data!E35*Data!G35</f>
        <v>0</v>
      </c>
    </row>
    <row r="236" spans="1:7" x14ac:dyDescent="0.2">
      <c r="A236" s="938"/>
      <c r="B236" s="251"/>
      <c r="C236" s="513" t="s">
        <v>454</v>
      </c>
      <c r="D236" s="503">
        <f>Data!E40</f>
        <v>0</v>
      </c>
      <c r="E236" s="503">
        <f>SUM(Data!E40*Data!G40)</f>
        <v>0</v>
      </c>
      <c r="F236" s="503"/>
    </row>
    <row r="237" spans="1:7" x14ac:dyDescent="0.2">
      <c r="A237" s="939" t="s">
        <v>456</v>
      </c>
      <c r="D237" s="499">
        <f>'Infrastructure Detailed'!D170</f>
        <v>0</v>
      </c>
      <c r="E237" s="497" t="s">
        <v>45</v>
      </c>
      <c r="F237" s="492">
        <f>'Infrastructure Detailed'!D175</f>
        <v>10</v>
      </c>
      <c r="G237" s="497" t="s">
        <v>193</v>
      </c>
    </row>
    <row r="238" spans="1:7" x14ac:dyDescent="0.2">
      <c r="A238" s="939"/>
      <c r="D238" s="492">
        <f>'Infrastructure Detailed'!D171</f>
        <v>0</v>
      </c>
      <c r="E238" s="497" t="s">
        <v>44</v>
      </c>
      <c r="F238" s="496">
        <f>'Infrastructure Detailed'!D169</f>
        <v>7.0000000000000007E-2</v>
      </c>
    </row>
    <row r="239" spans="1:7" x14ac:dyDescent="0.2">
      <c r="A239" s="939"/>
      <c r="D239" s="499">
        <f>SUM(D237*D238)</f>
        <v>0</v>
      </c>
      <c r="F239" s="492">
        <f>'Infrastructure Detailed'!D174</f>
        <v>40</v>
      </c>
      <c r="G239" s="497" t="s">
        <v>193</v>
      </c>
    </row>
  </sheetData>
  <sheetProtection sheet="1" objects="1" scenarios="1"/>
  <mergeCells count="9">
    <mergeCell ref="A233:A234"/>
    <mergeCell ref="A235:A236"/>
    <mergeCell ref="A237:A239"/>
    <mergeCell ref="H76:H78"/>
    <mergeCell ref="A181:A193"/>
    <mergeCell ref="A194:A204"/>
    <mergeCell ref="A205:A217"/>
    <mergeCell ref="A218:A230"/>
    <mergeCell ref="A231:A232"/>
  </mergeCells>
  <pageMargins left="0.31944444444444442" right="0.25416666666666665" top="0.40347222222222223" bottom="0.52847222222222223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I150"/>
  <sheetViews>
    <sheetView zoomScaleSheetLayoutView="100" workbookViewId="0">
      <selection activeCell="E1" sqref="E1"/>
    </sheetView>
  </sheetViews>
  <sheetFormatPr defaultColWidth="11.5703125" defaultRowHeight="12.75" x14ac:dyDescent="0.2"/>
  <cols>
    <col min="3" max="3" width="13.42578125" customWidth="1"/>
    <col min="4" max="4" width="14.42578125" customWidth="1"/>
    <col min="5" max="5" width="12.5703125" customWidth="1"/>
    <col min="8" max="8" width="8.42578125" customWidth="1"/>
    <col min="9" max="9" width="5.85546875" customWidth="1"/>
    <col min="10" max="10" width="4.5703125" customWidth="1"/>
    <col min="11" max="11" width="5" customWidth="1"/>
    <col min="12" max="12" width="17.85546875" customWidth="1"/>
    <col min="13" max="13" width="44.140625" style="944" customWidth="1"/>
    <col min="14" max="27" width="16.7109375" style="944" customWidth="1"/>
    <col min="28" max="29" width="16.7109375" style="249" customWidth="1"/>
    <col min="30" max="30" width="11.5703125" style="249"/>
    <col min="31" max="33" width="11.5703125" style="135"/>
    <col min="34" max="35" width="11.5703125" style="385"/>
    <col min="36" max="39" width="11.5703125" style="514"/>
    <col min="40" max="42" width="11.5703125" style="385"/>
    <col min="43" max="50" width="11.5703125" style="515"/>
    <col min="51" max="51" width="11.5703125" style="516"/>
    <col min="52" max="53" width="11.5703125" style="385"/>
    <col min="54" max="61" width="11.5703125" style="172"/>
  </cols>
  <sheetData>
    <row r="1" spans="1:51" ht="34.35" customHeight="1" x14ac:dyDescent="0.2">
      <c r="A1" s="942" t="s">
        <v>457</v>
      </c>
      <c r="B1" s="942"/>
      <c r="C1" s="942"/>
      <c r="D1" s="942"/>
      <c r="E1" s="517" t="e">
        <f>AS12</f>
        <v>#DIV/0!</v>
      </c>
      <c r="F1" s="943" t="s">
        <v>378</v>
      </c>
      <c r="G1" s="943"/>
      <c r="H1" s="943"/>
      <c r="I1" s="869"/>
      <c r="J1" s="869"/>
      <c r="K1" s="869"/>
      <c r="L1" s="806" t="s">
        <v>458</v>
      </c>
    </row>
    <row r="2" spans="1:51" ht="7.5" customHeight="1" x14ac:dyDescent="0.2">
      <c r="I2" s="869"/>
      <c r="J2" s="869"/>
      <c r="K2" s="869"/>
      <c r="L2" s="807"/>
    </row>
    <row r="3" spans="1:51" ht="26.1" customHeight="1" x14ac:dyDescent="0.2">
      <c r="I3" s="869"/>
      <c r="J3" s="869"/>
      <c r="K3" s="869"/>
      <c r="L3" s="808" t="s">
        <v>467</v>
      </c>
    </row>
    <row r="4" spans="1:51" ht="18" x14ac:dyDescent="0.25">
      <c r="I4" s="869"/>
      <c r="J4" s="869"/>
      <c r="K4" s="869"/>
      <c r="L4" s="810">
        <v>25</v>
      </c>
    </row>
    <row r="5" spans="1:51" ht="7.5" customHeight="1" x14ac:dyDescent="0.2">
      <c r="I5" s="869"/>
      <c r="J5" s="869"/>
      <c r="K5" s="869"/>
      <c r="L5" s="947" t="s">
        <v>466</v>
      </c>
      <c r="AB5" s="518">
        <f>L4</f>
        <v>25</v>
      </c>
    </row>
    <row r="6" spans="1:51" ht="7.5" customHeight="1" x14ac:dyDescent="0.2">
      <c r="I6" s="869"/>
      <c r="J6" s="869"/>
      <c r="K6" s="869"/>
      <c r="L6" s="947"/>
      <c r="AB6" s="518">
        <f>AB5</f>
        <v>25</v>
      </c>
      <c r="AM6" s="519"/>
      <c r="AN6" s="520"/>
      <c r="AO6" s="520"/>
      <c r="AP6" s="520"/>
      <c r="AQ6" s="521"/>
    </row>
    <row r="7" spans="1:51" ht="25.35" customHeight="1" x14ac:dyDescent="0.2">
      <c r="I7" s="869"/>
      <c r="J7" s="869"/>
      <c r="K7" s="869"/>
      <c r="L7" s="947"/>
      <c r="AN7" s="522"/>
      <c r="AO7" s="522"/>
      <c r="AP7" s="522"/>
    </row>
    <row r="8" spans="1:51" ht="18" x14ac:dyDescent="0.25">
      <c r="I8" s="869"/>
      <c r="J8" s="869"/>
      <c r="K8" s="869"/>
      <c r="L8" s="810">
        <v>200</v>
      </c>
      <c r="AN8" s="522"/>
      <c r="AO8" s="522"/>
      <c r="AP8" s="522"/>
      <c r="AR8" s="523"/>
      <c r="AS8" s="523"/>
      <c r="AT8" s="523"/>
      <c r="AU8" s="523"/>
      <c r="AV8" s="523"/>
      <c r="AW8" s="523"/>
      <c r="AX8" s="523"/>
      <c r="AY8" s="435"/>
    </row>
    <row r="9" spans="1:51" x14ac:dyDescent="0.2">
      <c r="I9" s="869"/>
      <c r="J9" s="869"/>
      <c r="K9" s="869"/>
      <c r="L9" s="809"/>
      <c r="AN9" s="522"/>
      <c r="AO9" s="522"/>
      <c r="AP9" s="522"/>
      <c r="AR9" s="523"/>
      <c r="AS9" s="523"/>
      <c r="AT9" s="523"/>
      <c r="AU9" s="523"/>
      <c r="AV9" s="523"/>
      <c r="AW9" s="523"/>
      <c r="AX9" s="523"/>
      <c r="AY9" s="435"/>
    </row>
    <row r="10" spans="1:51" ht="22.35" customHeight="1" x14ac:dyDescent="0.2">
      <c r="I10" s="869"/>
      <c r="J10" s="869"/>
      <c r="K10" s="869"/>
      <c r="L10" s="945"/>
      <c r="AN10" s="522"/>
      <c r="AO10" s="522"/>
      <c r="AP10" s="522"/>
      <c r="AR10" s="523"/>
      <c r="AS10" s="523"/>
      <c r="AT10" s="523"/>
      <c r="AU10" s="523"/>
      <c r="AV10" s="523"/>
      <c r="AW10" s="523"/>
      <c r="AX10" s="523"/>
      <c r="AY10" s="435"/>
    </row>
    <row r="11" spans="1:51" x14ac:dyDescent="0.2">
      <c r="I11" s="869"/>
      <c r="J11" s="869"/>
      <c r="K11" s="869"/>
      <c r="L11" s="945"/>
      <c r="AN11" s="522"/>
      <c r="AO11" s="522"/>
      <c r="AP11" s="522"/>
      <c r="AR11" s="523"/>
      <c r="AS11" s="523"/>
      <c r="AT11" s="523"/>
      <c r="AU11" s="523"/>
      <c r="AV11" s="523"/>
      <c r="AW11" s="523"/>
      <c r="AX11" s="523"/>
      <c r="AY11" s="435"/>
    </row>
    <row r="12" spans="1:51" ht="19.350000000000001" customHeight="1" x14ac:dyDescent="0.2">
      <c r="I12" s="869"/>
      <c r="J12" s="869"/>
      <c r="K12" s="869"/>
      <c r="L12" s="946"/>
      <c r="AN12" s="522"/>
      <c r="AO12" s="522"/>
      <c r="AP12" s="522"/>
      <c r="AR12" s="524" t="s">
        <v>444</v>
      </c>
      <c r="AS12" s="523" t="e">
        <f>'Print A4'!L89</f>
        <v>#DIV/0!</v>
      </c>
      <c r="AT12" s="523" t="s">
        <v>378</v>
      </c>
      <c r="AU12" s="523"/>
      <c r="AV12" s="523"/>
      <c r="AW12" s="523"/>
      <c r="AX12" s="523"/>
      <c r="AY12" s="435"/>
    </row>
    <row r="13" spans="1:51" x14ac:dyDescent="0.2">
      <c r="I13" s="869"/>
      <c r="J13" s="869"/>
      <c r="K13" s="869"/>
      <c r="L13" s="869"/>
      <c r="AN13" s="522"/>
      <c r="AO13" s="522"/>
      <c r="AP13" s="522"/>
      <c r="AR13" s="525" t="s">
        <v>459</v>
      </c>
      <c r="AS13" s="525" t="s">
        <v>460</v>
      </c>
      <c r="AT13" s="525" t="s">
        <v>461</v>
      </c>
      <c r="AU13" s="525" t="s">
        <v>462</v>
      </c>
      <c r="AV13" s="525" t="s">
        <v>463</v>
      </c>
      <c r="AW13" s="525" t="s">
        <v>464</v>
      </c>
      <c r="AX13" s="525" t="s">
        <v>465</v>
      </c>
      <c r="AY13" s="435"/>
    </row>
    <row r="14" spans="1:51" x14ac:dyDescent="0.2">
      <c r="I14" s="869"/>
      <c r="J14" s="869"/>
      <c r="K14" s="869"/>
      <c r="L14" s="869"/>
      <c r="AN14" s="522"/>
      <c r="AO14" s="522"/>
      <c r="AP14" s="522"/>
      <c r="AR14" s="523">
        <f>Results!AB5</f>
        <v>200</v>
      </c>
      <c r="AS14" s="523" t="e">
        <f>Results!AG92</f>
        <v>#DIV/0!</v>
      </c>
      <c r="AT14" s="526" t="e">
        <f>Results!AG90</f>
        <v>#DIV/0!</v>
      </c>
      <c r="AU14" s="526" t="e">
        <f>'Print A4'!$L$89</f>
        <v>#DIV/0!</v>
      </c>
      <c r="AV14" s="523" t="e">
        <f>Results!AG91</f>
        <v>#DIV/0!</v>
      </c>
      <c r="AW14" s="523" t="e">
        <f>Results!AG94</f>
        <v>#DIV/0!</v>
      </c>
      <c r="AX14" s="523" t="e">
        <f>Results!AG95</f>
        <v>#DIV/0!</v>
      </c>
      <c r="AY14" s="435"/>
    </row>
    <row r="15" spans="1:51" x14ac:dyDescent="0.2">
      <c r="I15" s="869"/>
      <c r="J15" s="869"/>
      <c r="K15" s="869"/>
      <c r="L15" s="869"/>
      <c r="AN15" s="522"/>
      <c r="AO15" s="522"/>
      <c r="AP15" s="522"/>
      <c r="AR15" s="523">
        <f>Results!AS5</f>
        <v>225</v>
      </c>
      <c r="AS15" s="523" t="e">
        <f>Results!AX92</f>
        <v>#DIV/0!</v>
      </c>
      <c r="AT15" s="526" t="e">
        <f>Results!AX90</f>
        <v>#DIV/0!</v>
      </c>
      <c r="AU15" s="526" t="e">
        <f>'Print A4'!$L$89</f>
        <v>#DIV/0!</v>
      </c>
      <c r="AV15" s="523" t="e">
        <f>Results!AX91</f>
        <v>#DIV/0!</v>
      </c>
      <c r="AW15" s="523" t="e">
        <f>Results!AX94</f>
        <v>#DIV/0!</v>
      </c>
      <c r="AX15" s="523" t="e">
        <f>Results!AX95</f>
        <v>#DIV/0!</v>
      </c>
      <c r="AY15" s="435"/>
    </row>
    <row r="16" spans="1:51" x14ac:dyDescent="0.2">
      <c r="I16" s="869"/>
      <c r="J16" s="869"/>
      <c r="K16" s="869"/>
      <c r="L16" s="869"/>
      <c r="AN16" s="522"/>
      <c r="AO16" s="522"/>
      <c r="AP16" s="522"/>
      <c r="AR16" s="523">
        <f>Results!BI5</f>
        <v>250</v>
      </c>
      <c r="AS16" s="523" t="e">
        <f>Results!BN92</f>
        <v>#DIV/0!</v>
      </c>
      <c r="AT16" s="526" t="e">
        <f>Results!BN90</f>
        <v>#DIV/0!</v>
      </c>
      <c r="AU16" s="526" t="e">
        <f>'Print A4'!$L$89</f>
        <v>#DIV/0!</v>
      </c>
      <c r="AV16" s="523" t="e">
        <f>Results!BN91</f>
        <v>#DIV/0!</v>
      </c>
      <c r="AW16" s="523" t="e">
        <f>Results!BN94</f>
        <v>#DIV/0!</v>
      </c>
      <c r="AX16" s="523" t="e">
        <f>Results!BN95</f>
        <v>#DIV/0!</v>
      </c>
      <c r="AY16" s="435"/>
    </row>
    <row r="17" spans="9:51" x14ac:dyDescent="0.2">
      <c r="I17" s="869"/>
      <c r="J17" s="869"/>
      <c r="K17" s="869"/>
      <c r="L17" s="869"/>
      <c r="AN17" s="522"/>
      <c r="AO17" s="522"/>
      <c r="AP17" s="522"/>
      <c r="AR17" s="523">
        <f>Results!BY5</f>
        <v>275</v>
      </c>
      <c r="AS17" s="523" t="e">
        <f>Results!CD92</f>
        <v>#DIV/0!</v>
      </c>
      <c r="AT17" s="526" t="e">
        <f>Results!CD90</f>
        <v>#DIV/0!</v>
      </c>
      <c r="AU17" s="526" t="e">
        <f>'Print A4'!$L$89</f>
        <v>#DIV/0!</v>
      </c>
      <c r="AV17" s="523" t="e">
        <f>Results!CD91</f>
        <v>#DIV/0!</v>
      </c>
      <c r="AW17" s="523" t="e">
        <f>Results!CD94</f>
        <v>#DIV/0!</v>
      </c>
      <c r="AX17" s="523" t="e">
        <f>Results!CD95</f>
        <v>#DIV/0!</v>
      </c>
      <c r="AY17" s="435"/>
    </row>
    <row r="18" spans="9:51" x14ac:dyDescent="0.2">
      <c r="I18" s="869"/>
      <c r="J18" s="869"/>
      <c r="K18" s="869"/>
      <c r="L18" s="869"/>
      <c r="AN18" s="522"/>
      <c r="AO18" s="522"/>
      <c r="AP18" s="522"/>
      <c r="AR18" s="523">
        <f>Results!CO5</f>
        <v>300</v>
      </c>
      <c r="AS18" s="523" t="e">
        <f>Results!CT92</f>
        <v>#DIV/0!</v>
      </c>
      <c r="AT18" s="526" t="e">
        <f>Results!CT90</f>
        <v>#DIV/0!</v>
      </c>
      <c r="AU18" s="526" t="e">
        <f>'Print A4'!$L$89</f>
        <v>#DIV/0!</v>
      </c>
      <c r="AV18" s="523" t="e">
        <f>Results!CT91</f>
        <v>#DIV/0!</v>
      </c>
      <c r="AW18" s="523" t="e">
        <f>Results!CT94</f>
        <v>#DIV/0!</v>
      </c>
      <c r="AX18" s="523" t="e">
        <f>Results!CT95</f>
        <v>#DIV/0!</v>
      </c>
      <c r="AY18" s="435"/>
    </row>
    <row r="19" spans="9:51" ht="14.85" customHeight="1" x14ac:dyDescent="0.2">
      <c r="I19" s="869"/>
      <c r="J19" s="869"/>
      <c r="K19" s="869"/>
      <c r="L19" s="869"/>
      <c r="AN19" s="522"/>
      <c r="AO19" s="522"/>
      <c r="AP19" s="522"/>
      <c r="AR19" s="523">
        <f>Results!DE5</f>
        <v>325</v>
      </c>
      <c r="AS19" s="523" t="e">
        <f>Results!DJ92</f>
        <v>#DIV/0!</v>
      </c>
      <c r="AT19" s="526" t="e">
        <f>Results!DJ90</f>
        <v>#DIV/0!</v>
      </c>
      <c r="AU19" s="526" t="e">
        <f>'Print A4'!$L$89</f>
        <v>#DIV/0!</v>
      </c>
      <c r="AV19" s="523" t="e">
        <f>Results!DJ91</f>
        <v>#DIV/0!</v>
      </c>
      <c r="AW19" s="523" t="e">
        <f>Results!DJ94</f>
        <v>#DIV/0!</v>
      </c>
      <c r="AX19" s="523" t="e">
        <f>Results!DJ95</f>
        <v>#DIV/0!</v>
      </c>
      <c r="AY19" s="435"/>
    </row>
    <row r="20" spans="9:51" x14ac:dyDescent="0.2">
      <c r="I20" s="869"/>
      <c r="J20" s="869"/>
      <c r="K20" s="869"/>
      <c r="L20" s="869"/>
      <c r="AN20" s="522"/>
      <c r="AO20" s="522"/>
      <c r="AP20" s="522"/>
      <c r="AR20" s="523">
        <f>Results!DU5</f>
        <v>350</v>
      </c>
      <c r="AS20" s="523" t="e">
        <f>Results!DZ92</f>
        <v>#DIV/0!</v>
      </c>
      <c r="AT20" s="526" t="e">
        <f>Results!DZ90</f>
        <v>#DIV/0!</v>
      </c>
      <c r="AU20" s="526" t="e">
        <f>'Print A4'!$L$89</f>
        <v>#DIV/0!</v>
      </c>
      <c r="AV20" s="523" t="e">
        <f>Results!DZ91</f>
        <v>#DIV/0!</v>
      </c>
      <c r="AW20" s="523" t="e">
        <f>Results!DZ94</f>
        <v>#DIV/0!</v>
      </c>
      <c r="AX20" s="523" t="e">
        <f>Results!DZ95</f>
        <v>#DIV/0!</v>
      </c>
      <c r="AY20" s="435"/>
    </row>
    <row r="21" spans="9:51" x14ac:dyDescent="0.2">
      <c r="I21" s="869"/>
      <c r="J21" s="869"/>
      <c r="K21" s="869"/>
      <c r="L21" s="869"/>
      <c r="AN21" s="522"/>
      <c r="AO21" s="522"/>
      <c r="AP21" s="522"/>
      <c r="AR21" s="523">
        <f>Results!EK5</f>
        <v>375</v>
      </c>
      <c r="AS21" s="523" t="e">
        <f>Results!EP92</f>
        <v>#DIV/0!</v>
      </c>
      <c r="AT21" s="526" t="e">
        <f>Results!EP90</f>
        <v>#DIV/0!</v>
      </c>
      <c r="AU21" s="526" t="e">
        <f>'Print A4'!$L$89</f>
        <v>#DIV/0!</v>
      </c>
      <c r="AV21" s="523" t="e">
        <f>Results!EP91</f>
        <v>#DIV/0!</v>
      </c>
      <c r="AW21" s="523" t="e">
        <f>Results!EP94</f>
        <v>#DIV/0!</v>
      </c>
      <c r="AX21" s="523" t="e">
        <f>Results!EP95</f>
        <v>#DIV/0!</v>
      </c>
      <c r="AY21" s="435"/>
    </row>
    <row r="22" spans="9:51" x14ac:dyDescent="0.2">
      <c r="I22" s="869"/>
      <c r="J22" s="869"/>
      <c r="K22" s="869"/>
      <c r="L22" s="869"/>
      <c r="AN22" s="522"/>
      <c r="AO22" s="522"/>
      <c r="AP22" s="522"/>
      <c r="AR22" s="523">
        <f>Results!FA5</f>
        <v>400</v>
      </c>
      <c r="AS22" s="523" t="e">
        <f>Results!FF92</f>
        <v>#DIV/0!</v>
      </c>
      <c r="AT22" s="526" t="e">
        <f>Results!FF90</f>
        <v>#DIV/0!</v>
      </c>
      <c r="AU22" s="526" t="e">
        <f>'Print A4'!$L$89</f>
        <v>#DIV/0!</v>
      </c>
      <c r="AV22" s="523" t="e">
        <f>Results!FF91</f>
        <v>#DIV/0!</v>
      </c>
      <c r="AW22" s="523" t="e">
        <f>Results!FF94</f>
        <v>#DIV/0!</v>
      </c>
      <c r="AX22" s="523" t="e">
        <f>Results!FF95</f>
        <v>#DIV/0!</v>
      </c>
      <c r="AY22" s="435"/>
    </row>
    <row r="23" spans="9:51" x14ac:dyDescent="0.2">
      <c r="I23" s="869"/>
      <c r="J23" s="869"/>
      <c r="K23" s="869"/>
      <c r="L23" s="869"/>
      <c r="AN23" s="522"/>
      <c r="AO23" s="522"/>
      <c r="AP23" s="522"/>
      <c r="AR23" s="523">
        <f>Results!FQ5</f>
        <v>425</v>
      </c>
      <c r="AS23" s="523" t="e">
        <f>Results!FV92</f>
        <v>#DIV/0!</v>
      </c>
      <c r="AT23" s="526" t="e">
        <f>Results!FV90</f>
        <v>#DIV/0!</v>
      </c>
      <c r="AU23" s="526" t="e">
        <f>'Print A4'!$L$89</f>
        <v>#DIV/0!</v>
      </c>
      <c r="AV23" s="523" t="e">
        <f>Results!FV91</f>
        <v>#DIV/0!</v>
      </c>
      <c r="AW23" s="523" t="e">
        <f>Results!FV94</f>
        <v>#DIV/0!</v>
      </c>
      <c r="AX23" s="523" t="e">
        <f>Results!FV95</f>
        <v>#DIV/0!</v>
      </c>
      <c r="AY23" s="435"/>
    </row>
    <row r="24" spans="9:51" x14ac:dyDescent="0.2">
      <c r="I24" s="869"/>
      <c r="J24" s="869"/>
      <c r="K24" s="869"/>
      <c r="L24" s="869"/>
      <c r="AN24" s="522"/>
      <c r="AO24" s="522"/>
      <c r="AP24" s="522"/>
      <c r="AR24" s="523">
        <f>Results!GG5</f>
        <v>450</v>
      </c>
      <c r="AS24" s="523" t="e">
        <f>Results!GL92</f>
        <v>#DIV/0!</v>
      </c>
      <c r="AT24" s="526" t="e">
        <f>Results!GL90</f>
        <v>#DIV/0!</v>
      </c>
      <c r="AU24" s="526" t="e">
        <f>'Print A4'!$L$89</f>
        <v>#DIV/0!</v>
      </c>
      <c r="AV24" s="523" t="e">
        <f>Results!GL91</f>
        <v>#DIV/0!</v>
      </c>
      <c r="AW24" s="523" t="e">
        <f>Results!GL94</f>
        <v>#DIV/0!</v>
      </c>
      <c r="AX24" s="523" t="e">
        <f>Results!GL95</f>
        <v>#DIV/0!</v>
      </c>
      <c r="AY24" s="435"/>
    </row>
    <row r="25" spans="9:51" x14ac:dyDescent="0.2">
      <c r="I25" s="869"/>
      <c r="J25" s="869"/>
      <c r="K25" s="869"/>
      <c r="L25" s="869"/>
      <c r="AN25" s="522"/>
      <c r="AO25" s="522"/>
      <c r="AP25" s="522"/>
      <c r="AR25" s="523">
        <f>Results!GW5</f>
        <v>475</v>
      </c>
      <c r="AS25" s="523" t="e">
        <f>Results!HB92</f>
        <v>#DIV/0!</v>
      </c>
      <c r="AT25" s="526" t="e">
        <f>Results!HB90</f>
        <v>#DIV/0!</v>
      </c>
      <c r="AU25" s="526" t="e">
        <f>'Print A4'!$L$89</f>
        <v>#DIV/0!</v>
      </c>
      <c r="AV25" s="523" t="e">
        <f>Results!HB91</f>
        <v>#DIV/0!</v>
      </c>
      <c r="AW25" s="523" t="e">
        <f>Results!HB94</f>
        <v>#DIV/0!</v>
      </c>
      <c r="AX25" s="523" t="e">
        <f>Results!HB95</f>
        <v>#DIV/0!</v>
      </c>
      <c r="AY25" s="435"/>
    </row>
    <row r="26" spans="9:51" x14ac:dyDescent="0.2">
      <c r="I26" s="869"/>
      <c r="J26" s="869"/>
      <c r="K26" s="869"/>
      <c r="L26" s="869"/>
      <c r="AN26" s="522"/>
      <c r="AO26" s="522"/>
      <c r="AP26" s="522"/>
      <c r="AR26" s="523">
        <f>Results!AC103</f>
        <v>500</v>
      </c>
      <c r="AS26" s="523" t="e">
        <f>Results!AH190</f>
        <v>#DIV/0!</v>
      </c>
      <c r="AT26" s="526" t="e">
        <f>Results!AH188</f>
        <v>#DIV/0!</v>
      </c>
      <c r="AU26" s="526" t="e">
        <f>'Print A4'!$L$89</f>
        <v>#DIV/0!</v>
      </c>
      <c r="AV26" s="523" t="e">
        <f>Results!AH189</f>
        <v>#DIV/0!</v>
      </c>
      <c r="AW26" s="523" t="e">
        <f>Results!AH192</f>
        <v>#DIV/0!</v>
      </c>
      <c r="AX26" s="523" t="e">
        <f>Results!AH193</f>
        <v>#DIV/0!</v>
      </c>
      <c r="AY26" s="435"/>
    </row>
    <row r="27" spans="9:51" x14ac:dyDescent="0.2">
      <c r="I27" s="869"/>
      <c r="J27" s="869"/>
      <c r="K27" s="869"/>
      <c r="L27" s="869"/>
      <c r="AN27" s="522"/>
      <c r="AO27" s="522"/>
      <c r="AP27" s="522"/>
      <c r="AR27" s="523">
        <f>Results!AS103</f>
        <v>525</v>
      </c>
      <c r="AS27" s="523" t="e">
        <f>Results!AX190</f>
        <v>#DIV/0!</v>
      </c>
      <c r="AT27" s="526" t="e">
        <f>Results!AX188</f>
        <v>#DIV/0!</v>
      </c>
      <c r="AU27" s="526" t="e">
        <f>'Print A4'!$L$89</f>
        <v>#DIV/0!</v>
      </c>
      <c r="AV27" s="523" t="e">
        <f>Results!AX189</f>
        <v>#DIV/0!</v>
      </c>
      <c r="AW27" s="523" t="e">
        <f>Results!AX192</f>
        <v>#DIV/0!</v>
      </c>
      <c r="AX27" s="523" t="e">
        <f>Results!AX193</f>
        <v>#DIV/0!</v>
      </c>
      <c r="AY27" s="435"/>
    </row>
    <row r="28" spans="9:51" x14ac:dyDescent="0.2">
      <c r="I28" s="869"/>
      <c r="J28" s="869"/>
      <c r="K28" s="869"/>
      <c r="L28" s="869"/>
      <c r="AR28" s="523">
        <f>Results!BI103</f>
        <v>550</v>
      </c>
      <c r="AS28" s="523" t="e">
        <f>Results!BN190</f>
        <v>#DIV/0!</v>
      </c>
      <c r="AT28" s="526" t="e">
        <f>Results!BN188</f>
        <v>#DIV/0!</v>
      </c>
      <c r="AU28" s="526" t="e">
        <f>'Print A4'!$L$89</f>
        <v>#DIV/0!</v>
      </c>
      <c r="AV28" s="523" t="e">
        <f>Results!BN189</f>
        <v>#DIV/0!</v>
      </c>
      <c r="AW28" s="523" t="e">
        <f>Results!BN192</f>
        <v>#DIV/0!</v>
      </c>
      <c r="AX28" s="523" t="e">
        <f>Results!BN193</f>
        <v>#DIV/0!</v>
      </c>
      <c r="AY28" s="435"/>
    </row>
    <row r="29" spans="9:51" x14ac:dyDescent="0.2">
      <c r="I29" s="869"/>
      <c r="J29" s="869"/>
      <c r="K29" s="869"/>
      <c r="L29" s="869"/>
      <c r="AR29" s="523">
        <f>Results!BY103</f>
        <v>575</v>
      </c>
      <c r="AS29" s="523" t="e">
        <f>Results!CD190</f>
        <v>#DIV/0!</v>
      </c>
      <c r="AT29" s="526" t="e">
        <f>Results!CD188</f>
        <v>#DIV/0!</v>
      </c>
      <c r="AU29" s="526" t="e">
        <f>'Print A4'!$L$89</f>
        <v>#DIV/0!</v>
      </c>
      <c r="AV29" s="523" t="e">
        <f>Results!CD189</f>
        <v>#DIV/0!</v>
      </c>
      <c r="AW29" s="523" t="e">
        <f>Results!CD192</f>
        <v>#DIV/0!</v>
      </c>
      <c r="AX29" s="523" t="e">
        <f>Results!CD193</f>
        <v>#DIV/0!</v>
      </c>
      <c r="AY29" s="435"/>
    </row>
    <row r="30" spans="9:51" x14ac:dyDescent="0.2">
      <c r="I30" s="869"/>
      <c r="J30" s="869"/>
      <c r="K30" s="869"/>
      <c r="L30" s="869"/>
      <c r="AR30" s="523">
        <f>Results!CO103</f>
        <v>600</v>
      </c>
      <c r="AS30" s="523" t="e">
        <f>Results!CT190</f>
        <v>#DIV/0!</v>
      </c>
      <c r="AT30" s="526" t="e">
        <f>Results!CT188</f>
        <v>#DIV/0!</v>
      </c>
      <c r="AU30" s="526" t="e">
        <f>'Print A4'!$L$89</f>
        <v>#DIV/0!</v>
      </c>
      <c r="AV30" s="523" t="e">
        <f>Results!CT189</f>
        <v>#DIV/0!</v>
      </c>
      <c r="AW30" s="523" t="e">
        <f>Results!CT192</f>
        <v>#DIV/0!</v>
      </c>
      <c r="AX30" s="523" t="e">
        <f>Results!CT193</f>
        <v>#DIV/0!</v>
      </c>
      <c r="AY30" s="435"/>
    </row>
    <row r="31" spans="9:51" x14ac:dyDescent="0.2">
      <c r="I31" s="869"/>
      <c r="J31" s="869"/>
      <c r="K31" s="869"/>
      <c r="L31" s="869"/>
      <c r="AR31" s="523">
        <f>Results!DE103</f>
        <v>625</v>
      </c>
      <c r="AS31" s="523" t="e">
        <f>Results!DJ190</f>
        <v>#DIV/0!</v>
      </c>
      <c r="AT31" s="526" t="e">
        <f>Results!DJ188</f>
        <v>#DIV/0!</v>
      </c>
      <c r="AU31" s="526" t="e">
        <f>'Print A4'!$L$89</f>
        <v>#DIV/0!</v>
      </c>
      <c r="AV31" s="523" t="e">
        <f>Results!DJ189</f>
        <v>#DIV/0!</v>
      </c>
      <c r="AW31" s="523" t="e">
        <f>Results!DJ192</f>
        <v>#DIV/0!</v>
      </c>
      <c r="AX31" s="523" t="e">
        <f>Results!DJ193</f>
        <v>#DIV/0!</v>
      </c>
      <c r="AY31" s="435"/>
    </row>
    <row r="32" spans="9:51" x14ac:dyDescent="0.2">
      <c r="I32" s="869"/>
      <c r="J32" s="869"/>
      <c r="K32" s="869"/>
      <c r="L32" s="869"/>
      <c r="AR32" s="523">
        <f>Results!DU103</f>
        <v>650</v>
      </c>
      <c r="AS32" s="523" t="e">
        <f>Results!DZ190</f>
        <v>#DIV/0!</v>
      </c>
      <c r="AT32" s="526" t="e">
        <f>Results!DZ188</f>
        <v>#DIV/0!</v>
      </c>
      <c r="AU32" s="526" t="e">
        <f>'Print A4'!$L$89</f>
        <v>#DIV/0!</v>
      </c>
      <c r="AV32" s="523" t="e">
        <f>Results!DZ189</f>
        <v>#DIV/0!</v>
      </c>
      <c r="AW32" s="523" t="e">
        <f>Results!DZ192</f>
        <v>#DIV/0!</v>
      </c>
      <c r="AX32" s="523" t="e">
        <f>Results!DZ193</f>
        <v>#DIV/0!</v>
      </c>
      <c r="AY32" s="435"/>
    </row>
    <row r="33" spans="9:51" x14ac:dyDescent="0.2">
      <c r="I33" s="869"/>
      <c r="J33" s="869"/>
      <c r="K33" s="869"/>
      <c r="L33" s="869"/>
      <c r="AR33" s="523">
        <f>Results!EK103</f>
        <v>675</v>
      </c>
      <c r="AS33" s="523" t="e">
        <f>Results!EP190</f>
        <v>#DIV/0!</v>
      </c>
      <c r="AT33" s="526" t="e">
        <f>Results!EP188</f>
        <v>#DIV/0!</v>
      </c>
      <c r="AU33" s="526" t="e">
        <f>'Print A4'!$L$89</f>
        <v>#DIV/0!</v>
      </c>
      <c r="AV33" s="523" t="e">
        <f>Results!EP189</f>
        <v>#DIV/0!</v>
      </c>
      <c r="AW33" s="523" t="e">
        <f>Results!EP192</f>
        <v>#DIV/0!</v>
      </c>
      <c r="AX33" s="523" t="e">
        <f>Results!EP193</f>
        <v>#DIV/0!</v>
      </c>
      <c r="AY33" s="435"/>
    </row>
    <row r="34" spans="9:51" x14ac:dyDescent="0.2">
      <c r="I34" s="869"/>
      <c r="J34" s="869"/>
      <c r="K34" s="869"/>
      <c r="L34" s="869"/>
      <c r="AR34" s="523">
        <f>Results!FA103</f>
        <v>700</v>
      </c>
      <c r="AS34" s="523" t="e">
        <f>Results!FF190</f>
        <v>#DIV/0!</v>
      </c>
      <c r="AT34" s="526" t="e">
        <f>Results!FF188</f>
        <v>#DIV/0!</v>
      </c>
      <c r="AU34" s="526" t="e">
        <f>'Print A4'!$L$89</f>
        <v>#DIV/0!</v>
      </c>
      <c r="AV34" s="523" t="e">
        <f>Results!FF189</f>
        <v>#DIV/0!</v>
      </c>
      <c r="AW34" s="523" t="e">
        <f>Results!FF192</f>
        <v>#DIV/0!</v>
      </c>
      <c r="AX34" s="523" t="e">
        <f>Results!FF193</f>
        <v>#DIV/0!</v>
      </c>
      <c r="AY34" s="435"/>
    </row>
    <row r="35" spans="9:51" x14ac:dyDescent="0.2">
      <c r="I35" s="869"/>
      <c r="J35" s="869"/>
      <c r="K35" s="869"/>
      <c r="L35" s="869"/>
      <c r="AR35" s="523"/>
      <c r="AS35" s="523"/>
      <c r="AT35" s="523"/>
      <c r="AU35" s="523"/>
      <c r="AV35" s="523"/>
      <c r="AW35" s="523"/>
      <c r="AX35" s="523"/>
      <c r="AY35" s="435"/>
    </row>
    <row r="36" spans="9:51" x14ac:dyDescent="0.2">
      <c r="I36" s="869"/>
      <c r="J36" s="869"/>
      <c r="K36" s="869"/>
      <c r="L36" s="869"/>
      <c r="AR36" s="523"/>
      <c r="AS36" s="523"/>
      <c r="AT36" s="523"/>
      <c r="AU36" s="523"/>
      <c r="AV36" s="523"/>
      <c r="AW36" s="523"/>
      <c r="AX36" s="523"/>
      <c r="AY36" s="435"/>
    </row>
    <row r="37" spans="9:51" x14ac:dyDescent="0.2">
      <c r="I37" s="869"/>
      <c r="J37" s="869"/>
      <c r="K37" s="869"/>
      <c r="L37" s="869"/>
      <c r="AR37" s="523"/>
      <c r="AS37" s="523"/>
      <c r="AT37" s="523"/>
      <c r="AU37" s="523"/>
      <c r="AV37" s="523"/>
      <c r="AW37" s="523"/>
      <c r="AX37" s="523"/>
      <c r="AY37" s="435"/>
    </row>
    <row r="38" spans="9:51" x14ac:dyDescent="0.2">
      <c r="I38" s="869"/>
      <c r="J38" s="869"/>
      <c r="K38" s="869"/>
      <c r="L38" s="869"/>
      <c r="AR38" s="523"/>
      <c r="AS38" s="523"/>
      <c r="AT38" s="523"/>
      <c r="AU38" s="523"/>
      <c r="AV38" s="523"/>
      <c r="AW38" s="523"/>
      <c r="AX38" s="523"/>
      <c r="AY38" s="435"/>
    </row>
    <row r="39" spans="9:51" x14ac:dyDescent="0.2">
      <c r="I39" s="869"/>
      <c r="J39" s="869"/>
      <c r="K39" s="869"/>
      <c r="L39" s="869"/>
      <c r="AR39" s="523"/>
      <c r="AS39" s="523"/>
      <c r="AT39" s="523"/>
      <c r="AU39" s="523"/>
      <c r="AV39" s="523"/>
      <c r="AW39" s="523"/>
      <c r="AX39" s="523"/>
      <c r="AY39" s="435"/>
    </row>
    <row r="40" spans="9:51" ht="8.25" customHeight="1" x14ac:dyDescent="0.2">
      <c r="I40" s="869"/>
      <c r="J40" s="869"/>
      <c r="K40" s="869"/>
      <c r="L40" s="869"/>
      <c r="AR40" s="523"/>
      <c r="AS40" s="523"/>
      <c r="AT40" s="523"/>
      <c r="AU40" s="523"/>
      <c r="AV40" s="523"/>
      <c r="AW40" s="523"/>
      <c r="AX40" s="523"/>
      <c r="AY40" s="435"/>
    </row>
    <row r="41" spans="9:51" ht="7.5" customHeight="1" x14ac:dyDescent="0.2">
      <c r="I41" s="869"/>
      <c r="J41" s="869"/>
      <c r="K41" s="869"/>
      <c r="L41" s="869"/>
      <c r="AR41" s="523"/>
      <c r="AS41" s="523"/>
      <c r="AT41" s="523"/>
      <c r="AU41" s="523"/>
      <c r="AV41" s="523"/>
      <c r="AW41" s="523"/>
      <c r="AX41" s="523"/>
      <c r="AY41" s="435"/>
    </row>
    <row r="42" spans="9:51" ht="7.5" customHeight="1" x14ac:dyDescent="0.2">
      <c r="I42" s="869"/>
      <c r="J42" s="869"/>
      <c r="K42" s="869"/>
      <c r="L42" s="869"/>
      <c r="AR42" s="523"/>
      <c r="AS42" s="523"/>
      <c r="AT42" s="523"/>
      <c r="AU42" s="523"/>
      <c r="AV42" s="523"/>
      <c r="AW42" s="523"/>
      <c r="AX42" s="523"/>
      <c r="AY42" s="435"/>
    </row>
    <row r="43" spans="9:51" ht="9.75" customHeight="1" x14ac:dyDescent="0.2">
      <c r="I43" s="869"/>
      <c r="J43" s="869"/>
      <c r="K43" s="869"/>
      <c r="L43" s="869"/>
      <c r="AR43" s="523"/>
      <c r="AS43" s="523"/>
      <c r="AT43" s="523"/>
      <c r="AU43" s="523"/>
      <c r="AV43" s="523"/>
      <c r="AW43" s="523"/>
      <c r="AX43" s="523"/>
      <c r="AY43" s="435"/>
    </row>
    <row r="44" spans="9:51" x14ac:dyDescent="0.2">
      <c r="I44" s="869"/>
      <c r="J44" s="869"/>
      <c r="K44" s="869"/>
      <c r="L44" s="869"/>
      <c r="AR44" s="523"/>
      <c r="AS44" s="523"/>
      <c r="AT44" s="523"/>
      <c r="AU44" s="523"/>
      <c r="AV44" s="523"/>
      <c r="AW44" s="523"/>
      <c r="AX44" s="523"/>
      <c r="AY44" s="435"/>
    </row>
    <row r="45" spans="9:51" x14ac:dyDescent="0.2">
      <c r="I45" s="869"/>
      <c r="J45" s="869"/>
      <c r="K45" s="869"/>
      <c r="L45" s="869"/>
      <c r="AR45" s="523"/>
      <c r="AS45" s="523"/>
      <c r="AT45" s="523"/>
      <c r="AU45" s="523"/>
      <c r="AV45" s="523"/>
      <c r="AW45" s="523"/>
      <c r="AX45" s="523"/>
      <c r="AY45" s="435"/>
    </row>
    <row r="46" spans="9:51" x14ac:dyDescent="0.2">
      <c r="I46" s="869"/>
      <c r="J46" s="869"/>
      <c r="K46" s="869"/>
      <c r="L46" s="869"/>
      <c r="AR46" s="523"/>
      <c r="AS46" s="523"/>
      <c r="AT46" s="523"/>
      <c r="AU46" s="523"/>
      <c r="AV46" s="523"/>
      <c r="AW46" s="523"/>
      <c r="AX46" s="523"/>
      <c r="AY46" s="435"/>
    </row>
    <row r="47" spans="9:51" x14ac:dyDescent="0.2">
      <c r="I47" s="869"/>
      <c r="J47" s="869"/>
      <c r="K47" s="869"/>
      <c r="L47" s="869"/>
      <c r="AR47" s="523"/>
      <c r="AS47" s="523"/>
      <c r="AT47" s="523"/>
      <c r="AU47" s="523"/>
      <c r="AV47" s="523"/>
      <c r="AW47" s="523"/>
      <c r="AX47" s="523"/>
      <c r="AY47" s="435"/>
    </row>
    <row r="48" spans="9:51" x14ac:dyDescent="0.2">
      <c r="I48" s="869"/>
      <c r="J48" s="869"/>
      <c r="K48" s="869"/>
      <c r="L48" s="869"/>
    </row>
    <row r="49" spans="1:12" x14ac:dyDescent="0.2">
      <c r="I49" s="869"/>
      <c r="J49" s="869"/>
      <c r="K49" s="869"/>
      <c r="L49" s="869"/>
    </row>
    <row r="50" spans="1:12" x14ac:dyDescent="0.2">
      <c r="I50" s="869"/>
      <c r="J50" s="869"/>
      <c r="K50" s="869"/>
      <c r="L50" s="869"/>
    </row>
    <row r="51" spans="1:12" x14ac:dyDescent="0.2">
      <c r="I51" s="869"/>
      <c r="J51" s="869"/>
      <c r="K51" s="869"/>
      <c r="L51" s="869"/>
    </row>
    <row r="52" spans="1:12" x14ac:dyDescent="0.2">
      <c r="I52" s="869"/>
      <c r="J52" s="869"/>
      <c r="K52" s="869"/>
      <c r="L52" s="869"/>
    </row>
    <row r="53" spans="1:12" x14ac:dyDescent="0.2">
      <c r="I53" s="869"/>
      <c r="J53" s="869"/>
      <c r="K53" s="869"/>
      <c r="L53" s="869"/>
    </row>
    <row r="54" spans="1:12" x14ac:dyDescent="0.2">
      <c r="I54" s="869"/>
      <c r="J54" s="869"/>
      <c r="K54" s="869"/>
      <c r="L54" s="869"/>
    </row>
    <row r="55" spans="1:12" ht="23.85" customHeight="1" x14ac:dyDescent="0.2">
      <c r="A55" s="922" t="s">
        <v>437</v>
      </c>
      <c r="B55" s="922"/>
      <c r="C55" s="922"/>
      <c r="D55" s="922"/>
      <c r="E55" s="922"/>
      <c r="F55" s="922"/>
      <c r="G55" s="922"/>
      <c r="H55" s="922"/>
      <c r="I55" s="869"/>
      <c r="J55" s="869"/>
      <c r="K55" s="869"/>
      <c r="L55" s="869"/>
    </row>
    <row r="56" spans="1:12" x14ac:dyDescent="0.2">
      <c r="A56" s="869"/>
      <c r="B56" s="869"/>
      <c r="C56" s="869"/>
      <c r="D56" s="869"/>
      <c r="E56" s="869"/>
      <c r="F56" s="869"/>
      <c r="G56" s="869"/>
      <c r="H56" s="869"/>
      <c r="I56" s="869"/>
      <c r="J56" s="869"/>
      <c r="K56" s="869"/>
      <c r="L56" s="869"/>
    </row>
    <row r="57" spans="1:12" x14ac:dyDescent="0.2">
      <c r="A57" s="869"/>
      <c r="B57" s="869"/>
      <c r="C57" s="869"/>
      <c r="D57" s="869"/>
      <c r="E57" s="869"/>
      <c r="F57" s="869"/>
      <c r="G57" s="869"/>
      <c r="H57" s="869"/>
      <c r="I57" s="869"/>
      <c r="J57" s="869"/>
      <c r="K57" s="869"/>
      <c r="L57" s="869"/>
    </row>
    <row r="58" spans="1:12" x14ac:dyDescent="0.2">
      <c r="A58" s="869"/>
      <c r="B58" s="869"/>
      <c r="C58" s="869"/>
      <c r="D58" s="869"/>
      <c r="E58" s="869"/>
      <c r="F58" s="869"/>
      <c r="G58" s="869"/>
      <c r="H58" s="869"/>
      <c r="I58" s="869"/>
      <c r="J58" s="869"/>
      <c r="K58" s="869"/>
      <c r="L58" s="869"/>
    </row>
    <row r="59" spans="1:12" x14ac:dyDescent="0.2">
      <c r="A59" s="869"/>
      <c r="B59" s="869"/>
      <c r="C59" s="869"/>
      <c r="D59" s="869"/>
      <c r="E59" s="869"/>
      <c r="F59" s="869"/>
      <c r="G59" s="869"/>
      <c r="H59" s="869"/>
      <c r="I59" s="869"/>
      <c r="J59" s="869"/>
      <c r="K59" s="869"/>
      <c r="L59" s="869"/>
    </row>
    <row r="60" spans="1:12" x14ac:dyDescent="0.2">
      <c r="A60" s="869"/>
      <c r="B60" s="869"/>
      <c r="C60" s="869"/>
      <c r="D60" s="869"/>
      <c r="E60" s="869"/>
      <c r="F60" s="869"/>
      <c r="G60" s="869"/>
      <c r="H60" s="869"/>
      <c r="I60" s="869"/>
      <c r="J60" s="869"/>
      <c r="K60" s="869"/>
      <c r="L60" s="869"/>
    </row>
    <row r="61" spans="1:12" x14ac:dyDescent="0.2">
      <c r="A61" s="869"/>
      <c r="B61" s="869"/>
      <c r="C61" s="869"/>
      <c r="D61" s="869"/>
      <c r="E61" s="869"/>
      <c r="F61" s="869"/>
      <c r="G61" s="869"/>
      <c r="H61" s="869"/>
      <c r="I61" s="869"/>
      <c r="J61" s="869"/>
      <c r="K61" s="869"/>
      <c r="L61" s="869"/>
    </row>
    <row r="62" spans="1:12" x14ac:dyDescent="0.2">
      <c r="A62" s="869"/>
      <c r="B62" s="869"/>
      <c r="C62" s="869"/>
      <c r="D62" s="869"/>
      <c r="E62" s="869"/>
      <c r="F62" s="869"/>
      <c r="G62" s="869"/>
      <c r="H62" s="869"/>
      <c r="I62" s="869"/>
      <c r="J62" s="869"/>
      <c r="K62" s="869"/>
      <c r="L62" s="869"/>
    </row>
    <row r="63" spans="1:12" x14ac:dyDescent="0.2">
      <c r="A63" s="869"/>
      <c r="B63" s="869"/>
      <c r="C63" s="869"/>
      <c r="D63" s="869"/>
      <c r="E63" s="869"/>
      <c r="F63" s="869"/>
      <c r="G63" s="869"/>
      <c r="H63" s="869"/>
      <c r="I63" s="869"/>
      <c r="J63" s="869"/>
      <c r="K63" s="869"/>
      <c r="L63" s="869"/>
    </row>
    <row r="64" spans="1:12" x14ac:dyDescent="0.2">
      <c r="A64" s="869"/>
      <c r="B64" s="869"/>
      <c r="C64" s="869"/>
      <c r="D64" s="869"/>
      <c r="E64" s="869"/>
      <c r="F64" s="869"/>
      <c r="G64" s="869"/>
      <c r="H64" s="869"/>
      <c r="I64" s="869"/>
      <c r="J64" s="869"/>
      <c r="K64" s="869"/>
      <c r="L64" s="869"/>
    </row>
    <row r="65" spans="1:12" x14ac:dyDescent="0.2">
      <c r="A65" s="869"/>
      <c r="B65" s="869"/>
      <c r="C65" s="869"/>
      <c r="D65" s="869"/>
      <c r="E65" s="869"/>
      <c r="F65" s="869"/>
      <c r="G65" s="869"/>
      <c r="H65" s="869"/>
      <c r="I65" s="869"/>
      <c r="J65" s="869"/>
      <c r="K65" s="869"/>
      <c r="L65" s="869"/>
    </row>
    <row r="66" spans="1:12" x14ac:dyDescent="0.2">
      <c r="A66" s="869"/>
      <c r="B66" s="869"/>
      <c r="C66" s="869"/>
      <c r="D66" s="869"/>
      <c r="E66" s="869"/>
      <c r="F66" s="869"/>
      <c r="G66" s="869"/>
      <c r="H66" s="869"/>
      <c r="I66" s="869"/>
      <c r="J66" s="869"/>
      <c r="K66" s="869"/>
      <c r="L66" s="869"/>
    </row>
    <row r="67" spans="1:12" x14ac:dyDescent="0.2">
      <c r="A67" s="869"/>
      <c r="B67" s="869"/>
      <c r="C67" s="869"/>
      <c r="D67" s="869"/>
      <c r="E67" s="869"/>
      <c r="F67" s="869"/>
      <c r="G67" s="869"/>
      <c r="H67" s="869"/>
      <c r="I67" s="869"/>
      <c r="J67" s="869"/>
      <c r="K67" s="869"/>
      <c r="L67" s="869"/>
    </row>
    <row r="68" spans="1:12" x14ac:dyDescent="0.2">
      <c r="A68" s="869"/>
      <c r="B68" s="869"/>
      <c r="C68" s="869"/>
      <c r="D68" s="869"/>
      <c r="E68" s="869"/>
      <c r="F68" s="869"/>
      <c r="G68" s="869"/>
      <c r="H68" s="869"/>
      <c r="I68" s="869"/>
      <c r="J68" s="869"/>
      <c r="K68" s="869"/>
      <c r="L68" s="869"/>
    </row>
    <row r="69" spans="1:12" x14ac:dyDescent="0.2">
      <c r="A69" s="869"/>
      <c r="B69" s="869"/>
      <c r="C69" s="869"/>
      <c r="D69" s="869"/>
      <c r="E69" s="869"/>
      <c r="F69" s="869"/>
      <c r="G69" s="869"/>
      <c r="H69" s="869"/>
      <c r="I69" s="869"/>
      <c r="J69" s="869"/>
      <c r="K69" s="869"/>
      <c r="L69" s="869"/>
    </row>
    <row r="70" spans="1:12" x14ac:dyDescent="0.2">
      <c r="A70" s="869"/>
      <c r="B70" s="869"/>
      <c r="C70" s="869"/>
      <c r="D70" s="869"/>
      <c r="E70" s="869"/>
      <c r="F70" s="869"/>
      <c r="G70" s="869"/>
      <c r="H70" s="869"/>
      <c r="I70" s="869"/>
      <c r="J70" s="869"/>
      <c r="K70" s="869"/>
      <c r="L70" s="869"/>
    </row>
    <row r="71" spans="1:12" x14ac:dyDescent="0.2">
      <c r="A71" s="869"/>
      <c r="B71" s="869"/>
      <c r="C71" s="869"/>
      <c r="D71" s="869"/>
      <c r="E71" s="869"/>
      <c r="F71" s="869"/>
      <c r="G71" s="869"/>
      <c r="H71" s="869"/>
      <c r="I71" s="869"/>
      <c r="J71" s="869"/>
      <c r="K71" s="869"/>
      <c r="L71" s="869"/>
    </row>
    <row r="72" spans="1:12" x14ac:dyDescent="0.2">
      <c r="A72" s="869"/>
      <c r="B72" s="869"/>
      <c r="C72" s="869"/>
      <c r="D72" s="869"/>
      <c r="E72" s="869"/>
      <c r="F72" s="869"/>
      <c r="G72" s="869"/>
      <c r="H72" s="869"/>
      <c r="I72" s="869"/>
      <c r="J72" s="869"/>
      <c r="K72" s="869"/>
      <c r="L72" s="869"/>
    </row>
    <row r="73" spans="1:12" x14ac:dyDescent="0.2">
      <c r="A73" s="869"/>
      <c r="B73" s="869"/>
      <c r="C73" s="869"/>
      <c r="D73" s="869"/>
      <c r="E73" s="869"/>
      <c r="F73" s="869"/>
      <c r="G73" s="869"/>
      <c r="H73" s="869"/>
      <c r="I73" s="869"/>
      <c r="J73" s="869"/>
      <c r="K73" s="869"/>
      <c r="L73" s="869"/>
    </row>
    <row r="74" spans="1:12" x14ac:dyDescent="0.2">
      <c r="A74" s="869"/>
      <c r="B74" s="869"/>
      <c r="C74" s="869"/>
      <c r="D74" s="869"/>
      <c r="E74" s="869"/>
      <c r="F74" s="869"/>
      <c r="G74" s="869"/>
      <c r="H74" s="869"/>
      <c r="I74" s="869"/>
      <c r="J74" s="869"/>
      <c r="K74" s="869"/>
      <c r="L74" s="869"/>
    </row>
    <row r="75" spans="1:12" x14ac:dyDescent="0.2">
      <c r="A75" s="869"/>
      <c r="B75" s="869"/>
      <c r="C75" s="869"/>
      <c r="D75" s="869"/>
      <c r="E75" s="869"/>
      <c r="F75" s="869"/>
      <c r="G75" s="869"/>
      <c r="H75" s="869"/>
      <c r="I75" s="869"/>
      <c r="J75" s="869"/>
      <c r="K75" s="869"/>
      <c r="L75" s="869"/>
    </row>
    <row r="76" spans="1:12" x14ac:dyDescent="0.2">
      <c r="A76" s="869"/>
      <c r="B76" s="869"/>
      <c r="C76" s="869"/>
      <c r="D76" s="869"/>
      <c r="E76" s="869"/>
      <c r="F76" s="869"/>
      <c r="G76" s="869"/>
      <c r="H76" s="869"/>
      <c r="I76" s="869"/>
      <c r="J76" s="869"/>
      <c r="K76" s="869"/>
      <c r="L76" s="869"/>
    </row>
    <row r="77" spans="1:12" x14ac:dyDescent="0.2">
      <c r="A77" s="869"/>
      <c r="B77" s="869"/>
      <c r="C77" s="869"/>
      <c r="D77" s="869"/>
      <c r="E77" s="869"/>
      <c r="F77" s="869"/>
      <c r="G77" s="869"/>
      <c r="H77" s="869"/>
      <c r="I77" s="869"/>
      <c r="J77" s="869"/>
      <c r="K77" s="869"/>
      <c r="L77" s="869"/>
    </row>
    <row r="78" spans="1:12" x14ac:dyDescent="0.2">
      <c r="A78" s="869"/>
      <c r="B78" s="869"/>
      <c r="C78" s="869"/>
      <c r="D78" s="869"/>
      <c r="E78" s="869"/>
      <c r="F78" s="869"/>
      <c r="G78" s="869"/>
      <c r="H78" s="869"/>
      <c r="I78" s="869"/>
      <c r="J78" s="869"/>
      <c r="K78" s="869"/>
      <c r="L78" s="869"/>
    </row>
    <row r="79" spans="1:12" x14ac:dyDescent="0.2">
      <c r="A79" s="869"/>
      <c r="B79" s="869"/>
      <c r="C79" s="869"/>
      <c r="D79" s="869"/>
      <c r="E79" s="869"/>
      <c r="F79" s="869"/>
      <c r="G79" s="869"/>
      <c r="H79" s="869"/>
      <c r="I79" s="869"/>
      <c r="J79" s="869"/>
      <c r="K79" s="869"/>
      <c r="L79" s="869"/>
    </row>
    <row r="80" spans="1:12" x14ac:dyDescent="0.2">
      <c r="A80" s="869"/>
      <c r="B80" s="869"/>
      <c r="C80" s="869"/>
      <c r="D80" s="869"/>
      <c r="E80" s="869"/>
      <c r="F80" s="869"/>
      <c r="G80" s="869"/>
      <c r="H80" s="869"/>
      <c r="I80" s="869"/>
      <c r="J80" s="869"/>
      <c r="K80" s="869"/>
      <c r="L80" s="869"/>
    </row>
    <row r="81" spans="1:12" x14ac:dyDescent="0.2">
      <c r="A81" s="869"/>
      <c r="B81" s="869"/>
      <c r="C81" s="869"/>
      <c r="D81" s="869"/>
      <c r="E81" s="869"/>
      <c r="F81" s="869"/>
      <c r="G81" s="869"/>
      <c r="H81" s="869"/>
      <c r="I81" s="869"/>
      <c r="J81" s="869"/>
      <c r="K81" s="869"/>
      <c r="L81" s="869"/>
    </row>
    <row r="82" spans="1:12" x14ac:dyDescent="0.2">
      <c r="A82" s="869"/>
      <c r="B82" s="869"/>
      <c r="C82" s="869"/>
      <c r="D82" s="869"/>
      <c r="E82" s="869"/>
      <c r="F82" s="869"/>
      <c r="G82" s="869"/>
      <c r="H82" s="869"/>
      <c r="I82" s="869"/>
      <c r="J82" s="869"/>
      <c r="K82" s="869"/>
      <c r="L82" s="869"/>
    </row>
    <row r="83" spans="1:12" x14ac:dyDescent="0.2">
      <c r="A83" s="869"/>
      <c r="B83" s="869"/>
      <c r="C83" s="869"/>
      <c r="D83" s="869"/>
      <c r="E83" s="869"/>
      <c r="F83" s="869"/>
      <c r="G83" s="869"/>
      <c r="H83" s="869"/>
      <c r="I83" s="869"/>
      <c r="J83" s="869"/>
      <c r="K83" s="869"/>
      <c r="L83" s="869"/>
    </row>
    <row r="84" spans="1:12" x14ac:dyDescent="0.2">
      <c r="A84" s="869"/>
      <c r="B84" s="869"/>
      <c r="C84" s="869"/>
      <c r="D84" s="869"/>
      <c r="E84" s="869"/>
      <c r="F84" s="869"/>
      <c r="G84" s="869"/>
      <c r="H84" s="869"/>
      <c r="I84" s="869"/>
      <c r="J84" s="869"/>
      <c r="K84" s="869"/>
      <c r="L84" s="869"/>
    </row>
    <row r="85" spans="1:12" x14ac:dyDescent="0.2">
      <c r="A85" s="869"/>
      <c r="B85" s="869"/>
      <c r="C85" s="869"/>
      <c r="D85" s="869"/>
      <c r="E85" s="869"/>
      <c r="F85" s="869"/>
      <c r="G85" s="869"/>
      <c r="H85" s="869"/>
      <c r="I85" s="869"/>
      <c r="J85" s="869"/>
      <c r="K85" s="869"/>
      <c r="L85" s="869"/>
    </row>
    <row r="86" spans="1:12" x14ac:dyDescent="0.2">
      <c r="A86" s="869"/>
      <c r="B86" s="869"/>
      <c r="C86" s="869"/>
      <c r="D86" s="869"/>
      <c r="E86" s="869"/>
      <c r="F86" s="869"/>
      <c r="G86" s="869"/>
      <c r="H86" s="869"/>
      <c r="I86" s="869"/>
      <c r="J86" s="869"/>
      <c r="K86" s="869"/>
      <c r="L86" s="869"/>
    </row>
    <row r="87" spans="1:12" x14ac:dyDescent="0.2">
      <c r="A87" s="869"/>
      <c r="B87" s="869"/>
      <c r="C87" s="869"/>
      <c r="D87" s="869"/>
      <c r="E87" s="869"/>
      <c r="F87" s="869"/>
      <c r="G87" s="869"/>
      <c r="H87" s="869"/>
      <c r="I87" s="869"/>
      <c r="J87" s="869"/>
      <c r="K87" s="869"/>
      <c r="L87" s="869"/>
    </row>
    <row r="88" spans="1:12" x14ac:dyDescent="0.2">
      <c r="A88" s="869"/>
      <c r="B88" s="869"/>
      <c r="C88" s="869"/>
      <c r="D88" s="869"/>
      <c r="E88" s="869"/>
      <c r="F88" s="869"/>
      <c r="G88" s="869"/>
      <c r="H88" s="869"/>
      <c r="I88" s="869"/>
      <c r="J88" s="869"/>
      <c r="K88" s="869"/>
      <c r="L88" s="869"/>
    </row>
    <row r="89" spans="1:12" x14ac:dyDescent="0.2">
      <c r="A89" s="869"/>
      <c r="B89" s="869"/>
      <c r="C89" s="869"/>
      <c r="D89" s="869"/>
      <c r="E89" s="869"/>
      <c r="F89" s="869"/>
      <c r="G89" s="869"/>
      <c r="H89" s="869"/>
      <c r="I89" s="869"/>
      <c r="J89" s="869"/>
      <c r="K89" s="869"/>
      <c r="L89" s="869"/>
    </row>
    <row r="90" spans="1:12" x14ac:dyDescent="0.2">
      <c r="A90" s="869"/>
      <c r="B90" s="869"/>
      <c r="C90" s="869"/>
      <c r="D90" s="869"/>
      <c r="E90" s="869"/>
      <c r="F90" s="869"/>
      <c r="G90" s="869"/>
      <c r="H90" s="869"/>
      <c r="I90" s="869"/>
      <c r="J90" s="869"/>
      <c r="K90" s="869"/>
      <c r="L90" s="869"/>
    </row>
    <row r="91" spans="1:12" x14ac:dyDescent="0.2">
      <c r="A91" s="869"/>
      <c r="B91" s="869"/>
      <c r="C91" s="869"/>
      <c r="D91" s="869"/>
      <c r="E91" s="869"/>
      <c r="F91" s="869"/>
      <c r="G91" s="869"/>
      <c r="H91" s="869"/>
      <c r="I91" s="869"/>
      <c r="J91" s="869"/>
      <c r="K91" s="869"/>
      <c r="L91" s="869"/>
    </row>
    <row r="92" spans="1:12" x14ac:dyDescent="0.2">
      <c r="A92" s="869"/>
      <c r="B92" s="869"/>
      <c r="C92" s="869"/>
      <c r="D92" s="869"/>
      <c r="E92" s="869"/>
      <c r="F92" s="869"/>
      <c r="G92" s="869"/>
      <c r="H92" s="869"/>
      <c r="I92" s="869"/>
      <c r="J92" s="869"/>
      <c r="K92" s="869"/>
      <c r="L92" s="869"/>
    </row>
    <row r="93" spans="1:12" x14ac:dyDescent="0.2">
      <c r="A93" s="869"/>
      <c r="B93" s="869"/>
      <c r="C93" s="869"/>
      <c r="D93" s="869"/>
      <c r="E93" s="869"/>
      <c r="F93" s="869"/>
      <c r="G93" s="869"/>
      <c r="H93" s="869"/>
      <c r="I93" s="869"/>
      <c r="J93" s="869"/>
      <c r="K93" s="869"/>
      <c r="L93" s="869"/>
    </row>
    <row r="94" spans="1:12" x14ac:dyDescent="0.2">
      <c r="A94" s="869"/>
      <c r="B94" s="869"/>
      <c r="C94" s="869"/>
      <c r="D94" s="869"/>
      <c r="E94" s="869"/>
      <c r="F94" s="869"/>
      <c r="G94" s="869"/>
      <c r="H94" s="869"/>
      <c r="I94" s="869"/>
      <c r="J94" s="869"/>
      <c r="K94" s="869"/>
      <c r="L94" s="869"/>
    </row>
    <row r="95" spans="1:12" x14ac:dyDescent="0.2">
      <c r="A95" s="869"/>
      <c r="B95" s="869"/>
      <c r="C95" s="869"/>
      <c r="D95" s="869"/>
      <c r="E95" s="869"/>
      <c r="F95" s="869"/>
      <c r="G95" s="869"/>
      <c r="H95" s="869"/>
      <c r="I95" s="869"/>
      <c r="J95" s="869"/>
      <c r="K95" s="869"/>
      <c r="L95" s="869"/>
    </row>
    <row r="96" spans="1:12" x14ac:dyDescent="0.2">
      <c r="A96" s="869"/>
      <c r="B96" s="869"/>
      <c r="C96" s="869"/>
      <c r="D96" s="869"/>
      <c r="E96" s="869"/>
      <c r="F96" s="869"/>
      <c r="G96" s="869"/>
      <c r="H96" s="869"/>
      <c r="I96" s="869"/>
      <c r="J96" s="869"/>
      <c r="K96" s="869"/>
      <c r="L96" s="869"/>
    </row>
    <row r="97" spans="1:12" x14ac:dyDescent="0.2">
      <c r="A97" s="869"/>
      <c r="B97" s="869"/>
      <c r="C97" s="869"/>
      <c r="D97" s="869"/>
      <c r="E97" s="869"/>
      <c r="F97" s="869"/>
      <c r="G97" s="869"/>
      <c r="H97" s="869"/>
      <c r="I97" s="869"/>
      <c r="J97" s="869"/>
      <c r="K97" s="869"/>
      <c r="L97" s="869"/>
    </row>
    <row r="98" spans="1:12" x14ac:dyDescent="0.2">
      <c r="A98" s="869"/>
      <c r="B98" s="869"/>
      <c r="C98" s="869"/>
      <c r="D98" s="869"/>
      <c r="E98" s="869"/>
      <c r="F98" s="869"/>
      <c r="G98" s="869"/>
      <c r="H98" s="869"/>
      <c r="I98" s="869"/>
      <c r="J98" s="869"/>
      <c r="K98" s="869"/>
      <c r="L98" s="869"/>
    </row>
    <row r="99" spans="1:12" x14ac:dyDescent="0.2">
      <c r="A99" s="869"/>
      <c r="B99" s="869"/>
      <c r="C99" s="869"/>
      <c r="D99" s="869"/>
      <c r="E99" s="869"/>
      <c r="F99" s="869"/>
      <c r="G99" s="869"/>
      <c r="H99" s="869"/>
      <c r="I99" s="869"/>
      <c r="J99" s="869"/>
      <c r="K99" s="869"/>
      <c r="L99" s="869"/>
    </row>
    <row r="100" spans="1:12" x14ac:dyDescent="0.2">
      <c r="A100" s="869"/>
      <c r="B100" s="869"/>
      <c r="C100" s="869"/>
      <c r="D100" s="869"/>
      <c r="E100" s="869"/>
      <c r="F100" s="869"/>
      <c r="G100" s="869"/>
      <c r="H100" s="869"/>
      <c r="I100" s="869"/>
      <c r="J100" s="869"/>
      <c r="K100" s="869"/>
      <c r="L100" s="869"/>
    </row>
    <row r="101" spans="1:12" x14ac:dyDescent="0.2">
      <c r="A101" s="869"/>
      <c r="B101" s="869"/>
      <c r="C101" s="869"/>
      <c r="D101" s="869"/>
      <c r="E101" s="869"/>
      <c r="F101" s="869"/>
      <c r="G101" s="869"/>
      <c r="H101" s="869"/>
      <c r="I101" s="869"/>
      <c r="J101" s="869"/>
      <c r="K101" s="869"/>
      <c r="L101" s="869"/>
    </row>
    <row r="102" spans="1:12" x14ac:dyDescent="0.2">
      <c r="A102" s="869"/>
      <c r="B102" s="869"/>
      <c r="C102" s="869"/>
      <c r="D102" s="869"/>
      <c r="E102" s="869"/>
      <c r="F102" s="869"/>
      <c r="G102" s="869"/>
      <c r="H102" s="869"/>
      <c r="I102" s="869"/>
      <c r="J102" s="869"/>
      <c r="K102" s="869"/>
      <c r="L102" s="869"/>
    </row>
    <row r="103" spans="1:12" x14ac:dyDescent="0.2">
      <c r="A103" s="869"/>
      <c r="B103" s="869"/>
      <c r="C103" s="869"/>
      <c r="D103" s="869"/>
      <c r="E103" s="869"/>
      <c r="F103" s="869"/>
      <c r="G103" s="869"/>
      <c r="H103" s="869"/>
      <c r="I103" s="869"/>
      <c r="J103" s="869"/>
      <c r="K103" s="869"/>
      <c r="L103" s="869"/>
    </row>
    <row r="104" spans="1:12" x14ac:dyDescent="0.2">
      <c r="A104" s="869"/>
      <c r="B104" s="869"/>
      <c r="C104" s="869"/>
      <c r="D104" s="869"/>
      <c r="E104" s="869"/>
      <c r="F104" s="869"/>
      <c r="G104" s="869"/>
      <c r="H104" s="869"/>
      <c r="I104" s="869"/>
      <c r="J104" s="869"/>
      <c r="K104" s="869"/>
      <c r="L104" s="869"/>
    </row>
    <row r="105" spans="1:12" x14ac:dyDescent="0.2">
      <c r="A105" s="869"/>
      <c r="B105" s="869"/>
      <c r="C105" s="869"/>
      <c r="D105" s="869"/>
      <c r="E105" s="869"/>
      <c r="F105" s="869"/>
      <c r="G105" s="869"/>
      <c r="H105" s="869"/>
      <c r="I105" s="869"/>
      <c r="J105" s="869"/>
      <c r="K105" s="869"/>
      <c r="L105" s="869"/>
    </row>
    <row r="106" spans="1:12" x14ac:dyDescent="0.2">
      <c r="A106" s="869"/>
      <c r="B106" s="869"/>
      <c r="C106" s="869"/>
      <c r="D106" s="869"/>
      <c r="E106" s="869"/>
      <c r="F106" s="869"/>
      <c r="G106" s="869"/>
      <c r="H106" s="869"/>
      <c r="I106" s="869"/>
      <c r="J106" s="869"/>
      <c r="K106" s="869"/>
      <c r="L106" s="869"/>
    </row>
    <row r="107" spans="1:12" x14ac:dyDescent="0.2">
      <c r="A107" s="869"/>
      <c r="B107" s="869"/>
      <c r="C107" s="869"/>
      <c r="D107" s="869"/>
      <c r="E107" s="869"/>
      <c r="F107" s="869"/>
      <c r="G107" s="869"/>
      <c r="H107" s="869"/>
      <c r="I107" s="869"/>
      <c r="J107" s="869"/>
      <c r="K107" s="869"/>
      <c r="L107" s="869"/>
    </row>
    <row r="108" spans="1:12" x14ac:dyDescent="0.2">
      <c r="A108" s="869"/>
      <c r="B108" s="869"/>
      <c r="C108" s="869"/>
      <c r="D108" s="869"/>
      <c r="E108" s="869"/>
      <c r="F108" s="869"/>
      <c r="G108" s="869"/>
      <c r="H108" s="869"/>
      <c r="I108" s="869"/>
      <c r="J108" s="869"/>
      <c r="K108" s="869"/>
      <c r="L108" s="869"/>
    </row>
    <row r="109" spans="1:12" x14ac:dyDescent="0.2">
      <c r="A109" s="869"/>
      <c r="B109" s="869"/>
      <c r="C109" s="869"/>
      <c r="D109" s="869"/>
      <c r="E109" s="869"/>
      <c r="F109" s="869"/>
      <c r="G109" s="869"/>
      <c r="H109" s="869"/>
      <c r="I109" s="869"/>
      <c r="J109" s="869"/>
      <c r="K109" s="869"/>
      <c r="L109" s="869"/>
    </row>
    <row r="110" spans="1:12" x14ac:dyDescent="0.2">
      <c r="A110" s="869"/>
      <c r="B110" s="869"/>
      <c r="C110" s="869"/>
      <c r="D110" s="869"/>
      <c r="E110" s="869"/>
      <c r="F110" s="869"/>
      <c r="G110" s="869"/>
      <c r="H110" s="869"/>
      <c r="I110" s="869"/>
      <c r="J110" s="869"/>
      <c r="K110" s="869"/>
      <c r="L110" s="869"/>
    </row>
    <row r="111" spans="1:12" x14ac:dyDescent="0.2">
      <c r="A111" s="869"/>
      <c r="B111" s="869"/>
      <c r="C111" s="869"/>
      <c r="D111" s="869"/>
      <c r="E111" s="869"/>
      <c r="F111" s="869"/>
      <c r="G111" s="869"/>
      <c r="H111" s="869"/>
      <c r="I111" s="869"/>
      <c r="J111" s="869"/>
      <c r="K111" s="869"/>
      <c r="L111" s="869"/>
    </row>
    <row r="112" spans="1:12" x14ac:dyDescent="0.2">
      <c r="A112" s="869"/>
      <c r="B112" s="869"/>
      <c r="C112" s="869"/>
      <c r="D112" s="869"/>
      <c r="E112" s="869"/>
      <c r="F112" s="869"/>
      <c r="G112" s="869"/>
      <c r="H112" s="869"/>
      <c r="I112" s="869"/>
      <c r="J112" s="869"/>
      <c r="K112" s="869"/>
      <c r="L112" s="869"/>
    </row>
    <row r="113" spans="1:12" x14ac:dyDescent="0.2">
      <c r="A113" s="869"/>
      <c r="B113" s="869"/>
      <c r="C113" s="869"/>
      <c r="D113" s="869"/>
      <c r="E113" s="869"/>
      <c r="F113" s="869"/>
      <c r="G113" s="869"/>
      <c r="H113" s="869"/>
      <c r="I113" s="869"/>
      <c r="J113" s="869"/>
      <c r="K113" s="869"/>
      <c r="L113" s="869"/>
    </row>
    <row r="114" spans="1:12" x14ac:dyDescent="0.2">
      <c r="A114" s="869"/>
      <c r="B114" s="869"/>
      <c r="C114" s="869"/>
      <c r="D114" s="869"/>
      <c r="E114" s="869"/>
      <c r="F114" s="869"/>
      <c r="G114" s="869"/>
      <c r="H114" s="869"/>
      <c r="I114" s="869"/>
      <c r="J114" s="869"/>
      <c r="K114" s="869"/>
      <c r="L114" s="869"/>
    </row>
    <row r="115" spans="1:12" x14ac:dyDescent="0.2">
      <c r="A115" s="869"/>
      <c r="B115" s="869"/>
      <c r="C115" s="869"/>
      <c r="D115" s="869"/>
      <c r="E115" s="869"/>
      <c r="F115" s="869"/>
      <c r="G115" s="869"/>
      <c r="H115" s="869"/>
      <c r="I115" s="869"/>
      <c r="J115" s="869"/>
      <c r="K115" s="869"/>
      <c r="L115" s="869"/>
    </row>
    <row r="116" spans="1:12" x14ac:dyDescent="0.2">
      <c r="A116" s="869"/>
      <c r="B116" s="869"/>
      <c r="C116" s="869"/>
      <c r="D116" s="869"/>
      <c r="E116" s="869"/>
      <c r="F116" s="869"/>
      <c r="G116" s="869"/>
      <c r="H116" s="869"/>
      <c r="I116" s="869"/>
      <c r="J116" s="869"/>
      <c r="K116" s="869"/>
      <c r="L116" s="869"/>
    </row>
    <row r="117" spans="1:12" x14ac:dyDescent="0.2">
      <c r="A117" s="869"/>
      <c r="B117" s="869"/>
      <c r="C117" s="869"/>
      <c r="D117" s="869"/>
      <c r="E117" s="869"/>
      <c r="F117" s="869"/>
      <c r="G117" s="869"/>
      <c r="H117" s="869"/>
      <c r="I117" s="869"/>
      <c r="J117" s="869"/>
      <c r="K117" s="869"/>
      <c r="L117" s="869"/>
    </row>
    <row r="118" spans="1:12" x14ac:dyDescent="0.2">
      <c r="A118" s="869"/>
      <c r="B118" s="869"/>
      <c r="C118" s="869"/>
      <c r="D118" s="869"/>
      <c r="E118" s="869"/>
      <c r="F118" s="869"/>
      <c r="G118" s="869"/>
      <c r="H118" s="869"/>
      <c r="I118" s="869"/>
      <c r="J118" s="869"/>
      <c r="K118" s="869"/>
      <c r="L118" s="869"/>
    </row>
    <row r="119" spans="1:12" x14ac:dyDescent="0.2">
      <c r="A119" s="869"/>
      <c r="B119" s="869"/>
      <c r="C119" s="869"/>
      <c r="D119" s="869"/>
      <c r="E119" s="869"/>
      <c r="F119" s="869"/>
      <c r="G119" s="869"/>
      <c r="H119" s="869"/>
      <c r="I119" s="869"/>
      <c r="J119" s="869"/>
      <c r="K119" s="869"/>
      <c r="L119" s="869"/>
    </row>
    <row r="120" spans="1:12" x14ac:dyDescent="0.2">
      <c r="A120" s="869"/>
      <c r="B120" s="869"/>
      <c r="C120" s="869"/>
      <c r="D120" s="869"/>
      <c r="E120" s="869"/>
      <c r="F120" s="869"/>
      <c r="G120" s="869"/>
      <c r="H120" s="869"/>
      <c r="I120" s="869"/>
      <c r="J120" s="869"/>
      <c r="K120" s="869"/>
      <c r="L120" s="869"/>
    </row>
    <row r="121" spans="1:12" x14ac:dyDescent="0.2">
      <c r="A121" s="869"/>
      <c r="B121" s="869"/>
      <c r="C121" s="869"/>
      <c r="D121" s="869"/>
      <c r="E121" s="869"/>
      <c r="F121" s="869"/>
      <c r="G121" s="869"/>
      <c r="H121" s="869"/>
      <c r="I121" s="869"/>
      <c r="J121" s="869"/>
      <c r="K121" s="869"/>
      <c r="L121" s="869"/>
    </row>
    <row r="122" spans="1:12" x14ac:dyDescent="0.2">
      <c r="A122" s="869"/>
      <c r="B122" s="869"/>
      <c r="C122" s="869"/>
      <c r="D122" s="869"/>
      <c r="E122" s="869"/>
      <c r="F122" s="869"/>
      <c r="G122" s="869"/>
      <c r="H122" s="869"/>
      <c r="I122" s="869"/>
      <c r="J122" s="869"/>
      <c r="K122" s="869"/>
      <c r="L122" s="869"/>
    </row>
    <row r="123" spans="1:12" x14ac:dyDescent="0.2">
      <c r="A123" s="869"/>
      <c r="B123" s="869"/>
      <c r="C123" s="869"/>
      <c r="D123" s="869"/>
      <c r="E123" s="869"/>
      <c r="F123" s="869"/>
      <c r="G123" s="869"/>
      <c r="H123" s="869"/>
      <c r="I123" s="869"/>
      <c r="J123" s="869"/>
      <c r="K123" s="869"/>
      <c r="L123" s="869"/>
    </row>
    <row r="124" spans="1:12" x14ac:dyDescent="0.2">
      <c r="A124" s="869"/>
      <c r="B124" s="869"/>
      <c r="C124" s="869"/>
      <c r="D124" s="869"/>
      <c r="E124" s="869"/>
      <c r="F124" s="869"/>
      <c r="G124" s="869"/>
      <c r="H124" s="869"/>
      <c r="I124" s="869"/>
      <c r="J124" s="869"/>
      <c r="K124" s="869"/>
      <c r="L124" s="869"/>
    </row>
    <row r="125" spans="1:12" x14ac:dyDescent="0.2">
      <c r="A125" s="869"/>
      <c r="B125" s="869"/>
      <c r="C125" s="869"/>
      <c r="D125" s="869"/>
      <c r="E125" s="869"/>
      <c r="F125" s="869"/>
      <c r="G125" s="869"/>
      <c r="H125" s="869"/>
      <c r="I125" s="869"/>
      <c r="J125" s="869"/>
      <c r="K125" s="869"/>
      <c r="L125" s="869"/>
    </row>
    <row r="126" spans="1:12" x14ac:dyDescent="0.2">
      <c r="A126" s="869"/>
      <c r="B126" s="869"/>
      <c r="C126" s="869"/>
      <c r="D126" s="869"/>
      <c r="E126" s="869"/>
      <c r="F126" s="869"/>
      <c r="G126" s="869"/>
      <c r="H126" s="869"/>
      <c r="I126" s="869"/>
      <c r="J126" s="869"/>
      <c r="K126" s="869"/>
      <c r="L126" s="869"/>
    </row>
    <row r="127" spans="1:12" x14ac:dyDescent="0.2">
      <c r="A127" s="869"/>
      <c r="B127" s="869"/>
      <c r="C127" s="869"/>
      <c r="D127" s="869"/>
      <c r="E127" s="869"/>
      <c r="F127" s="869"/>
      <c r="G127" s="869"/>
      <c r="H127" s="869"/>
      <c r="I127" s="869"/>
      <c r="J127" s="869"/>
      <c r="K127" s="869"/>
      <c r="L127" s="869"/>
    </row>
    <row r="128" spans="1:12" x14ac:dyDescent="0.2">
      <c r="A128" s="869"/>
      <c r="B128" s="869"/>
      <c r="C128" s="869"/>
      <c r="D128" s="869"/>
      <c r="E128" s="869"/>
      <c r="F128" s="869"/>
      <c r="G128" s="869"/>
      <c r="H128" s="869"/>
      <c r="I128" s="869"/>
      <c r="J128" s="869"/>
      <c r="K128" s="869"/>
      <c r="L128" s="869"/>
    </row>
    <row r="129" spans="1:12" x14ac:dyDescent="0.2">
      <c r="A129" s="869"/>
      <c r="B129" s="869"/>
      <c r="C129" s="869"/>
      <c r="D129" s="869"/>
      <c r="E129" s="869"/>
      <c r="F129" s="869"/>
      <c r="G129" s="869"/>
      <c r="H129" s="869"/>
      <c r="I129" s="869"/>
      <c r="J129" s="869"/>
      <c r="K129" s="869"/>
      <c r="L129" s="869"/>
    </row>
    <row r="130" spans="1:12" x14ac:dyDescent="0.2">
      <c r="A130" s="869"/>
      <c r="B130" s="869"/>
      <c r="C130" s="869"/>
      <c r="D130" s="869"/>
      <c r="E130" s="869"/>
      <c r="F130" s="869"/>
      <c r="G130" s="869"/>
      <c r="H130" s="869"/>
      <c r="I130" s="869"/>
      <c r="J130" s="869"/>
      <c r="K130" s="869"/>
      <c r="L130" s="869"/>
    </row>
    <row r="131" spans="1:12" x14ac:dyDescent="0.2">
      <c r="A131" s="869"/>
      <c r="B131" s="869"/>
      <c r="C131" s="869"/>
      <c r="D131" s="869"/>
      <c r="E131" s="869"/>
      <c r="F131" s="869"/>
      <c r="G131" s="869"/>
      <c r="H131" s="869"/>
      <c r="I131" s="869"/>
      <c r="J131" s="869"/>
      <c r="K131" s="869"/>
      <c r="L131" s="869"/>
    </row>
    <row r="132" spans="1:12" x14ac:dyDescent="0.2">
      <c r="A132" s="869"/>
      <c r="B132" s="869"/>
      <c r="C132" s="869"/>
      <c r="D132" s="869"/>
      <c r="E132" s="869"/>
      <c r="F132" s="869"/>
      <c r="G132" s="869"/>
      <c r="H132" s="869"/>
      <c r="I132" s="869"/>
      <c r="J132" s="869"/>
      <c r="K132" s="869"/>
      <c r="L132" s="869"/>
    </row>
    <row r="133" spans="1:12" x14ac:dyDescent="0.2">
      <c r="A133" s="869"/>
      <c r="B133" s="869"/>
      <c r="C133" s="869"/>
      <c r="D133" s="869"/>
      <c r="E133" s="869"/>
      <c r="F133" s="869"/>
      <c r="G133" s="869"/>
      <c r="H133" s="869"/>
      <c r="I133" s="869"/>
      <c r="J133" s="869"/>
      <c r="K133" s="869"/>
      <c r="L133" s="869"/>
    </row>
    <row r="134" spans="1:12" x14ac:dyDescent="0.2">
      <c r="A134" s="869"/>
      <c r="B134" s="869"/>
      <c r="C134" s="869"/>
      <c r="D134" s="869"/>
      <c r="E134" s="869"/>
      <c r="F134" s="869"/>
      <c r="G134" s="869"/>
      <c r="H134" s="869"/>
      <c r="I134" s="869"/>
      <c r="J134" s="869"/>
      <c r="K134" s="869"/>
      <c r="L134" s="869"/>
    </row>
    <row r="135" spans="1:12" x14ac:dyDescent="0.2">
      <c r="A135" s="869"/>
      <c r="B135" s="869"/>
      <c r="C135" s="869"/>
      <c r="D135" s="869"/>
      <c r="E135" s="869"/>
      <c r="F135" s="869"/>
      <c r="G135" s="869"/>
      <c r="H135" s="869"/>
      <c r="I135" s="869"/>
      <c r="J135" s="869"/>
      <c r="K135" s="869"/>
      <c r="L135" s="869"/>
    </row>
    <row r="136" spans="1:12" x14ac:dyDescent="0.2">
      <c r="A136" s="869"/>
      <c r="B136" s="869"/>
      <c r="C136" s="869"/>
      <c r="D136" s="869"/>
      <c r="E136" s="869"/>
      <c r="F136" s="869"/>
      <c r="G136" s="869"/>
      <c r="H136" s="869"/>
      <c r="I136" s="869"/>
      <c r="J136" s="869"/>
      <c r="K136" s="869"/>
      <c r="L136" s="869"/>
    </row>
    <row r="137" spans="1:12" x14ac:dyDescent="0.2">
      <c r="A137" s="869"/>
      <c r="B137" s="869"/>
      <c r="C137" s="869"/>
      <c r="D137" s="869"/>
      <c r="E137" s="869"/>
      <c r="F137" s="869"/>
      <c r="G137" s="869"/>
      <c r="H137" s="869"/>
      <c r="I137" s="869"/>
      <c r="J137" s="869"/>
      <c r="K137" s="869"/>
      <c r="L137" s="869"/>
    </row>
    <row r="138" spans="1:12" x14ac:dyDescent="0.2">
      <c r="A138" s="869"/>
      <c r="B138" s="869"/>
      <c r="C138" s="869"/>
      <c r="D138" s="869"/>
      <c r="E138" s="869"/>
      <c r="F138" s="869"/>
      <c r="G138" s="869"/>
      <c r="H138" s="869"/>
      <c r="I138" s="869"/>
      <c r="J138" s="869"/>
      <c r="K138" s="869"/>
      <c r="L138" s="869"/>
    </row>
    <row r="139" spans="1:12" x14ac:dyDescent="0.2">
      <c r="A139" s="869"/>
      <c r="B139" s="869"/>
      <c r="C139" s="869"/>
      <c r="D139" s="869"/>
      <c r="E139" s="869"/>
      <c r="F139" s="869"/>
      <c r="G139" s="869"/>
      <c r="H139" s="869"/>
      <c r="I139" s="869"/>
      <c r="J139" s="869"/>
      <c r="K139" s="869"/>
      <c r="L139" s="869"/>
    </row>
    <row r="140" spans="1:12" x14ac:dyDescent="0.2">
      <c r="A140" s="869"/>
      <c r="B140" s="869"/>
      <c r="C140" s="869"/>
      <c r="D140" s="869"/>
      <c r="E140" s="869"/>
      <c r="F140" s="869"/>
      <c r="G140" s="869"/>
      <c r="H140" s="869"/>
      <c r="I140" s="869"/>
      <c r="J140" s="869"/>
      <c r="K140" s="869"/>
      <c r="L140" s="869"/>
    </row>
    <row r="141" spans="1:12" x14ac:dyDescent="0.2">
      <c r="A141" s="869"/>
      <c r="B141" s="869"/>
      <c r="C141" s="869"/>
      <c r="D141" s="869"/>
      <c r="E141" s="869"/>
      <c r="F141" s="869"/>
      <c r="G141" s="869"/>
      <c r="H141" s="869"/>
      <c r="I141" s="869"/>
      <c r="J141" s="869"/>
      <c r="K141" s="869"/>
      <c r="L141" s="869"/>
    </row>
    <row r="142" spans="1:12" x14ac:dyDescent="0.2">
      <c r="A142" s="869"/>
      <c r="B142" s="869"/>
      <c r="C142" s="869"/>
      <c r="D142" s="869"/>
      <c r="E142" s="869"/>
      <c r="F142" s="869"/>
      <c r="G142" s="869"/>
      <c r="H142" s="869"/>
      <c r="I142" s="869"/>
      <c r="J142" s="869"/>
      <c r="K142" s="869"/>
      <c r="L142" s="869"/>
    </row>
    <row r="143" spans="1:12" x14ac:dyDescent="0.2">
      <c r="A143" s="869"/>
      <c r="B143" s="869"/>
      <c r="C143" s="869"/>
      <c r="D143" s="869"/>
      <c r="E143" s="869"/>
      <c r="F143" s="869"/>
      <c r="G143" s="869"/>
      <c r="H143" s="869"/>
      <c r="I143" s="869"/>
      <c r="J143" s="869"/>
      <c r="K143" s="869"/>
      <c r="L143" s="869"/>
    </row>
    <row r="144" spans="1:12" x14ac:dyDescent="0.2">
      <c r="A144" s="869"/>
      <c r="B144" s="869"/>
      <c r="C144" s="869"/>
      <c r="D144" s="869"/>
      <c r="E144" s="869"/>
      <c r="F144" s="869"/>
      <c r="G144" s="869"/>
      <c r="H144" s="869"/>
      <c r="I144" s="869"/>
      <c r="J144" s="869"/>
      <c r="K144" s="869"/>
      <c r="L144" s="869"/>
    </row>
    <row r="145" spans="1:12" x14ac:dyDescent="0.2">
      <c r="A145" s="869"/>
      <c r="B145" s="869"/>
      <c r="C145" s="869"/>
      <c r="D145" s="869"/>
      <c r="E145" s="869"/>
      <c r="F145" s="869"/>
      <c r="G145" s="869"/>
      <c r="H145" s="869"/>
      <c r="I145" s="869"/>
      <c r="J145" s="869"/>
      <c r="K145" s="869"/>
      <c r="L145" s="869"/>
    </row>
    <row r="146" spans="1:12" x14ac:dyDescent="0.2">
      <c r="A146" s="869"/>
      <c r="B146" s="869"/>
      <c r="C146" s="869"/>
      <c r="D146" s="869"/>
      <c r="E146" s="869"/>
      <c r="F146" s="869"/>
      <c r="G146" s="869"/>
      <c r="H146" s="869"/>
      <c r="I146" s="869"/>
      <c r="J146" s="869"/>
      <c r="K146" s="869"/>
      <c r="L146" s="869"/>
    </row>
    <row r="147" spans="1:12" x14ac:dyDescent="0.2">
      <c r="A147" s="869"/>
      <c r="B147" s="869"/>
      <c r="C147" s="869"/>
      <c r="D147" s="869"/>
      <c r="E147" s="869"/>
      <c r="F147" s="869"/>
      <c r="G147" s="869"/>
      <c r="H147" s="869"/>
      <c r="I147" s="869"/>
      <c r="J147" s="869"/>
      <c r="K147" s="869"/>
      <c r="L147" s="869"/>
    </row>
    <row r="148" spans="1:12" x14ac:dyDescent="0.2">
      <c r="A148" s="869"/>
      <c r="B148" s="869"/>
      <c r="C148" s="869"/>
      <c r="D148" s="869"/>
      <c r="E148" s="869"/>
      <c r="F148" s="869"/>
      <c r="G148" s="869"/>
      <c r="H148" s="869"/>
      <c r="I148" s="869"/>
      <c r="J148" s="869"/>
      <c r="K148" s="869"/>
      <c r="L148" s="869"/>
    </row>
    <row r="149" spans="1:12" x14ac:dyDescent="0.2">
      <c r="A149" s="869"/>
      <c r="B149" s="869"/>
      <c r="C149" s="869"/>
      <c r="D149" s="869"/>
      <c r="E149" s="869"/>
      <c r="F149" s="869"/>
      <c r="G149" s="869"/>
      <c r="H149" s="869"/>
      <c r="I149" s="869"/>
      <c r="J149" s="869"/>
      <c r="K149" s="869"/>
      <c r="L149" s="869"/>
    </row>
    <row r="150" spans="1:12" x14ac:dyDescent="0.2">
      <c r="A150" s="869"/>
      <c r="B150" s="869"/>
      <c r="C150" s="869"/>
      <c r="D150" s="869"/>
      <c r="E150" s="869"/>
      <c r="F150" s="869"/>
      <c r="G150" s="869"/>
      <c r="H150" s="869"/>
      <c r="I150" s="869"/>
      <c r="J150" s="869"/>
      <c r="K150" s="869"/>
      <c r="L150" s="869"/>
    </row>
  </sheetData>
  <sheetProtection password="8376" sheet="1"/>
  <mergeCells count="9">
    <mergeCell ref="A1:D1"/>
    <mergeCell ref="F1:H1"/>
    <mergeCell ref="I1:K55"/>
    <mergeCell ref="M1:AA1048576"/>
    <mergeCell ref="L10:L12"/>
    <mergeCell ref="L13:L55"/>
    <mergeCell ref="A55:H55"/>
    <mergeCell ref="A56:L150"/>
    <mergeCell ref="L5:L7"/>
  </mergeCells>
  <pageMargins left="0.40555555555555556" right="0.31944444444444442" top="0.50555555555555554" bottom="0.4645833333333333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SheetLayoutView="100" workbookViewId="0"/>
  </sheetViews>
  <sheetFormatPr defaultColWidth="11.5703125" defaultRowHeight="12.75" x14ac:dyDescent="0.2"/>
  <sheetData/>
  <sheetProtection sheet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SheetLayoutView="100" workbookViewId="0"/>
  </sheetViews>
  <sheetFormatPr defaultColWidth="11.5703125" defaultRowHeight="12.75" x14ac:dyDescent="0.2"/>
  <sheetData/>
  <sheetProtection sheet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Data</vt:lpstr>
      <vt:lpstr>Infrastructure Detailed</vt:lpstr>
      <vt:lpstr>Results</vt:lpstr>
      <vt:lpstr>Print A4</vt:lpstr>
      <vt:lpstr>Summary</vt:lpstr>
      <vt:lpstr>Graphs</vt:lpstr>
      <vt:lpstr>FILL</vt:lpstr>
      <vt:lpstr>FILL2</vt:lpstr>
      <vt:lpstr>Graphs!Print_Area</vt:lpstr>
      <vt:lpstr>'Print A4'!Print_Area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Lucerne</dc:creator>
  <cp:lastModifiedBy>LA</cp:lastModifiedBy>
  <dcterms:created xsi:type="dcterms:W3CDTF">2015-01-19T04:07:52Z</dcterms:created>
  <dcterms:modified xsi:type="dcterms:W3CDTF">2023-08-18T04:42:43Z</dcterms:modified>
</cp:coreProperties>
</file>